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autoCompressPictures="0"/>
  <mc:AlternateContent xmlns:mc="http://schemas.openxmlformats.org/markup-compatibility/2006">
    <mc:Choice Requires="x15">
      <x15ac:absPath xmlns:x15ac="http://schemas.microsoft.com/office/spreadsheetml/2010/11/ac" url="\\rls\works\Kakovost\Certifikati\ConflictFreeMaterials\"/>
    </mc:Choice>
  </mc:AlternateContent>
  <xr:revisionPtr revIDLastSave="0" documentId="8_{200046A0-CDC8-45DA-B799-5341B2020498}"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38280" yWindow="-120" windowWidth="38640" windowHeight="211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T10" i="5"/>
  <c r="T14" i="5"/>
  <c r="T24" i="5"/>
  <c r="T34" i="5"/>
  <c r="T91" i="5"/>
  <c r="T94" i="5"/>
  <c r="T97" i="5"/>
  <c r="T98" i="5"/>
  <c r="T100" i="5"/>
  <c r="T102" i="5"/>
  <c r="T103" i="5"/>
  <c r="T104" i="5"/>
  <c r="T106" i="5"/>
  <c r="T108" i="5"/>
  <c r="T114" i="5"/>
  <c r="T116" i="5"/>
  <c r="T121" i="5"/>
  <c r="T122" i="5"/>
  <c r="T123" i="5"/>
  <c r="T124" i="5"/>
  <c r="T126" i="5"/>
  <c r="T127" i="5"/>
  <c r="T128" i="5"/>
  <c r="T130" i="5"/>
  <c r="T131" i="5"/>
  <c r="T132" i="5"/>
  <c r="T133" i="5"/>
  <c r="T134" i="5"/>
  <c r="T135" i="5"/>
  <c r="T136" i="5"/>
  <c r="T139" i="5"/>
  <c r="T141" i="5"/>
  <c r="T142" i="5"/>
  <c r="T143" i="5"/>
  <c r="T144" i="5"/>
  <c r="T145" i="5"/>
  <c r="T146" i="5"/>
  <c r="T147" i="5"/>
  <c r="T148" i="5"/>
  <c r="T149" i="5"/>
  <c r="T150" i="5"/>
  <c r="T151" i="5"/>
  <c r="T152" i="5"/>
  <c r="T153" i="5"/>
  <c r="T154" i="5"/>
  <c r="T155" i="5"/>
  <c r="T156" i="5"/>
  <c r="T157" i="5"/>
  <c r="T158" i="5"/>
  <c r="T159" i="5"/>
  <c r="T161" i="5"/>
  <c r="T162" i="5"/>
  <c r="T163" i="5"/>
  <c r="T166" i="5"/>
  <c r="T167" i="5"/>
  <c r="T168" i="5"/>
  <c r="T170" i="5"/>
  <c r="T172" i="5"/>
  <c r="T173" i="5"/>
  <c r="T174" i="5"/>
  <c r="T175" i="5"/>
  <c r="T176" i="5"/>
  <c r="T179" i="5"/>
  <c r="T180" i="5"/>
  <c r="T182" i="5"/>
  <c r="T189" i="5"/>
  <c r="T222" i="5"/>
  <c r="T223" i="5"/>
  <c r="T224" i="5"/>
  <c r="T227" i="5"/>
  <c r="T229" i="5"/>
  <c r="T230" i="5"/>
  <c r="T231" i="5"/>
  <c r="T232" i="5"/>
  <c r="T233" i="5"/>
  <c r="T234" i="5"/>
  <c r="T235" i="5"/>
  <c r="T253" i="5"/>
  <c r="T263" i="5"/>
  <c r="T264" i="5"/>
  <c r="T276" i="5"/>
  <c r="T313" i="5"/>
  <c r="T314" i="5"/>
  <c r="T315" i="5"/>
  <c r="T337" i="5"/>
  <c r="T338" i="5"/>
  <c r="T341" i="5"/>
  <c r="T351" i="5"/>
  <c r="T353" i="5"/>
  <c r="T354" i="5"/>
  <c r="T369" i="5"/>
  <c r="T371" i="5"/>
  <c r="T388" i="5"/>
  <c r="T389" i="5"/>
  <c r="T390" i="5"/>
  <c r="T397" i="5"/>
  <c r="T402" i="5"/>
  <c r="T408" i="5"/>
  <c r="T409" i="5"/>
  <c r="T431" i="5"/>
  <c r="T432" i="5"/>
  <c r="T433" i="5"/>
  <c r="T449"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S5"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9" i="5"/>
  <c r="V10" i="5"/>
  <c r="V11" i="5"/>
  <c r="V12" i="5"/>
  <c r="V13" i="5"/>
  <c r="V14" i="5"/>
  <c r="V15" i="5"/>
  <c r="V16" i="5"/>
  <c r="V17" i="5"/>
  <c r="V18" i="5"/>
  <c r="V19" i="5"/>
  <c r="V20" i="5"/>
  <c r="V21" i="5"/>
  <c r="V22" i="5"/>
  <c r="V23" i="5"/>
  <c r="V24" i="5"/>
  <c r="R24" i="5" s="1"/>
  <c r="V25" i="5"/>
  <c r="V26" i="5"/>
  <c r="X26" i="5"/>
  <c r="V27" i="5"/>
  <c r="V28" i="5"/>
  <c r="V29" i="5"/>
  <c r="V30" i="5"/>
  <c r="R30" i="5" s="1"/>
  <c r="V31" i="5"/>
  <c r="V32" i="5"/>
  <c r="R32" i="5" s="1"/>
  <c r="V33" i="5"/>
  <c r="V34" i="5"/>
  <c r="V35" i="5"/>
  <c r="V36" i="5"/>
  <c r="V37" i="5"/>
  <c r="V38" i="5"/>
  <c r="R38" i="5" s="1"/>
  <c r="V39" i="5"/>
  <c r="R39" i="5" s="1"/>
  <c r="V40" i="5"/>
  <c r="V41" i="5"/>
  <c r="V42" i="5"/>
  <c r="X42" i="5"/>
  <c r="V43" i="5"/>
  <c r="V44" i="5"/>
  <c r="V45" i="5"/>
  <c r="R45" i="5" s="1"/>
  <c r="V46" i="5"/>
  <c r="R46" i="5" s="1"/>
  <c r="V47" i="5"/>
  <c r="V48" i="5"/>
  <c r="V49" i="5"/>
  <c r="V50" i="5"/>
  <c r="V51" i="5"/>
  <c r="V52" i="5"/>
  <c r="V53" i="5"/>
  <c r="V54" i="5"/>
  <c r="X54" i="5"/>
  <c r="V55" i="5"/>
  <c r="V56" i="5"/>
  <c r="V57" i="5"/>
  <c r="V58" i="5"/>
  <c r="X58" i="5"/>
  <c r="V59" i="5"/>
  <c r="R59" i="5" s="1"/>
  <c r="V60" i="5"/>
  <c r="R60" i="5" s="1"/>
  <c r="V61" i="5"/>
  <c r="R61" i="5" s="1"/>
  <c r="V62" i="5"/>
  <c r="X62" i="5"/>
  <c r="V63" i="5"/>
  <c r="V64" i="5"/>
  <c r="V65" i="5"/>
  <c r="V66" i="5"/>
  <c r="V67" i="5"/>
  <c r="R67" i="5" s="1"/>
  <c r="V68" i="5"/>
  <c r="R68" i="5" s="1"/>
  <c r="V69" i="5"/>
  <c r="V70" i="5"/>
  <c r="V71" i="5"/>
  <c r="V72" i="5"/>
  <c r="V73" i="5"/>
  <c r="V74" i="5"/>
  <c r="R74" i="5" s="1"/>
  <c r="X74" i="5"/>
  <c r="V75" i="5"/>
  <c r="R75" i="5" s="1"/>
  <c r="V76" i="5"/>
  <c r="V77" i="5"/>
  <c r="V78" i="5"/>
  <c r="X78" i="5"/>
  <c r="V79" i="5"/>
  <c r="V80" i="5"/>
  <c r="V81" i="5"/>
  <c r="R81" i="5" s="1"/>
  <c r="V82" i="5"/>
  <c r="V83" i="5"/>
  <c r="V84" i="5"/>
  <c r="V85" i="5"/>
  <c r="V86" i="5"/>
  <c r="V87" i="5"/>
  <c r="V88" i="5"/>
  <c r="R88" i="5" s="1"/>
  <c r="V89" i="5"/>
  <c r="R89" i="5" s="1"/>
  <c r="V90" i="5"/>
  <c r="X90" i="5"/>
  <c r="V91" i="5"/>
  <c r="V92" i="5"/>
  <c r="V93" i="5"/>
  <c r="V94" i="5"/>
  <c r="V95" i="5"/>
  <c r="R95" i="5" s="1"/>
  <c r="V96" i="5"/>
  <c r="V97" i="5"/>
  <c r="V98" i="5"/>
  <c r="V99" i="5"/>
  <c r="V100" i="5"/>
  <c r="V101" i="5"/>
  <c r="V102" i="5"/>
  <c r="V103" i="5"/>
  <c r="V104" i="5"/>
  <c r="V105" i="5"/>
  <c r="V106" i="5"/>
  <c r="X106" i="5"/>
  <c r="V107" i="5"/>
  <c r="V108" i="5"/>
  <c r="V109" i="5"/>
  <c r="V110" i="5"/>
  <c r="X110" i="5"/>
  <c r="V111" i="5"/>
  <c r="R111" i="5" s="1"/>
  <c r="V112" i="5"/>
  <c r="V113" i="5"/>
  <c r="V114" i="5"/>
  <c r="V115" i="5"/>
  <c r="V116" i="5"/>
  <c r="V117" i="5"/>
  <c r="V118" i="5"/>
  <c r="R118" i="5" s="1"/>
  <c r="X118" i="5"/>
  <c r="V119" i="5"/>
  <c r="V120" i="5"/>
  <c r="V121" i="5"/>
  <c r="V122" i="5"/>
  <c r="V123" i="5"/>
  <c r="V124" i="5"/>
  <c r="V125" i="5"/>
  <c r="V126" i="5"/>
  <c r="R126" i="5" s="1"/>
  <c r="V127" i="5"/>
  <c r="V128" i="5"/>
  <c r="V129" i="5"/>
  <c r="V130" i="5"/>
  <c r="V131" i="5"/>
  <c r="V132" i="5"/>
  <c r="V133" i="5"/>
  <c r="V134" i="5"/>
  <c r="R134" i="5" s="1"/>
  <c r="X134" i="5"/>
  <c r="V135" i="5"/>
  <c r="V136" i="5"/>
  <c r="V137" i="5"/>
  <c r="V138" i="5"/>
  <c r="V139" i="5"/>
  <c r="R139" i="5" s="1"/>
  <c r="V140" i="5"/>
  <c r="V141" i="5"/>
  <c r="R141" i="5" s="1"/>
  <c r="V142" i="5"/>
  <c r="X142" i="5"/>
  <c r="V143" i="5"/>
  <c r="V144" i="5"/>
  <c r="V145" i="5"/>
  <c r="V146" i="5"/>
  <c r="V147" i="5"/>
  <c r="V148" i="5"/>
  <c r="V149" i="5"/>
  <c r="V150" i="5"/>
  <c r="R150" i="5" s="1"/>
  <c r="V151" i="5"/>
  <c r="V152" i="5"/>
  <c r="V153" i="5"/>
  <c r="V154" i="5"/>
  <c r="R154" i="5" s="1"/>
  <c r="V155" i="5"/>
  <c r="R155" i="5" s="1"/>
  <c r="V156" i="5"/>
  <c r="R156" i="5" s="1"/>
  <c r="V157" i="5"/>
  <c r="V158" i="5"/>
  <c r="V159" i="5"/>
  <c r="V160" i="5"/>
  <c r="V161" i="5"/>
  <c r="V162" i="5"/>
  <c r="V163" i="5"/>
  <c r="V164" i="5"/>
  <c r="V165" i="5"/>
  <c r="V166" i="5"/>
  <c r="V167" i="5"/>
  <c r="V168" i="5"/>
  <c r="V169" i="5"/>
  <c r="V170" i="5"/>
  <c r="R170" i="5" s="1"/>
  <c r="X170" i="5"/>
  <c r="V171" i="5"/>
  <c r="R171" i="5" s="1"/>
  <c r="V172" i="5"/>
  <c r="V173" i="5"/>
  <c r="R173" i="5" s="1"/>
  <c r="V174" i="5"/>
  <c r="V175" i="5"/>
  <c r="V176" i="5"/>
  <c r="V177" i="5"/>
  <c r="R177" i="5" s="1"/>
  <c r="V178" i="5"/>
  <c r="R178" i="5" s="1"/>
  <c r="X178" i="5"/>
  <c r="V179" i="5"/>
  <c r="V180" i="5"/>
  <c r="V181" i="5"/>
  <c r="V182" i="5"/>
  <c r="V183" i="5"/>
  <c r="V184" i="5"/>
  <c r="V185" i="5"/>
  <c r="R185" i="5" s="1"/>
  <c r="V186" i="5"/>
  <c r="R186" i="5" s="1"/>
  <c r="V187" i="5"/>
  <c r="V188" i="5"/>
  <c r="V189" i="5"/>
  <c r="V190" i="5"/>
  <c r="V191" i="5"/>
  <c r="V192" i="5"/>
  <c r="V193" i="5"/>
  <c r="V194" i="5"/>
  <c r="R194" i="5" s="1"/>
  <c r="V195" i="5"/>
  <c r="V196" i="5"/>
  <c r="V197" i="5"/>
  <c r="V198" i="5"/>
  <c r="V199" i="5"/>
  <c r="V200" i="5"/>
  <c r="V201" i="5"/>
  <c r="R201" i="5" s="1"/>
  <c r="V202" i="5"/>
  <c r="R202" i="5" s="1"/>
  <c r="V203" i="5"/>
  <c r="V204" i="5"/>
  <c r="V205" i="5"/>
  <c r="V206" i="5"/>
  <c r="X206" i="5"/>
  <c r="V207" i="5"/>
  <c r="V208" i="5"/>
  <c r="V209" i="5"/>
  <c r="R209" i="5" s="1"/>
  <c r="V210" i="5"/>
  <c r="V211" i="5"/>
  <c r="V212" i="5"/>
  <c r="V213" i="5"/>
  <c r="V214" i="5"/>
  <c r="V215" i="5"/>
  <c r="V216" i="5"/>
  <c r="V217" i="5"/>
  <c r="R217" i="5" s="1"/>
  <c r="V218" i="5"/>
  <c r="V219" i="5"/>
  <c r="R219" i="5" s="1"/>
  <c r="V220" i="5"/>
  <c r="V221" i="5"/>
  <c r="V222" i="5"/>
  <c r="X222" i="5"/>
  <c r="V223" i="5"/>
  <c r="R223" i="5" s="1"/>
  <c r="V224" i="5"/>
  <c r="R224" i="5" s="1"/>
  <c r="V225" i="5"/>
  <c r="V226" i="5"/>
  <c r="V227" i="5"/>
  <c r="V228" i="5"/>
  <c r="V229" i="5"/>
  <c r="V230" i="5"/>
  <c r="R230" i="5" s="1"/>
  <c r="V231" i="5"/>
  <c r="R231" i="5" s="1"/>
  <c r="V232" i="5"/>
  <c r="R232" i="5" s="1"/>
  <c r="V233" i="5"/>
  <c r="V234" i="5"/>
  <c r="V235" i="5"/>
  <c r="V236" i="5"/>
  <c r="V237" i="5"/>
  <c r="V238" i="5"/>
  <c r="X238" i="5"/>
  <c r="V239" i="5"/>
  <c r="V240" i="5"/>
  <c r="V241" i="5"/>
  <c r="V242" i="5"/>
  <c r="V243" i="5"/>
  <c r="V244" i="5"/>
  <c r="V245" i="5"/>
  <c r="R245" i="5" s="1"/>
  <c r="V246" i="5"/>
  <c r="R246" i="5" s="1"/>
  <c r="X246" i="5"/>
  <c r="V247" i="5"/>
  <c r="V248" i="5"/>
  <c r="V249" i="5"/>
  <c r="V250" i="5"/>
  <c r="X250" i="5"/>
  <c r="V251" i="5"/>
  <c r="V252" i="5"/>
  <c r="V253" i="5"/>
  <c r="R253" i="5" s="1"/>
  <c r="V254" i="5"/>
  <c r="X254" i="5"/>
  <c r="V255" i="5"/>
  <c r="V256" i="5"/>
  <c r="V257" i="5"/>
  <c r="V258" i="5"/>
  <c r="R258" i="5" s="1"/>
  <c r="X258" i="5"/>
  <c r="V259" i="5"/>
  <c r="R259" i="5" s="1"/>
  <c r="V260" i="5"/>
  <c r="V261" i="5"/>
  <c r="V262" i="5"/>
  <c r="V263" i="5"/>
  <c r="V264" i="5"/>
  <c r="V265" i="5"/>
  <c r="R265" i="5" s="1"/>
  <c r="V266" i="5"/>
  <c r="R266" i="5" s="1"/>
  <c r="X266" i="5"/>
  <c r="V267" i="5"/>
  <c r="V268" i="5"/>
  <c r="V269" i="5"/>
  <c r="V270" i="5"/>
  <c r="X270" i="5"/>
  <c r="V271" i="5"/>
  <c r="R271" i="5" s="1"/>
  <c r="V272" i="5"/>
  <c r="V273" i="5"/>
  <c r="R273" i="5" s="1"/>
  <c r="V274" i="5"/>
  <c r="V275" i="5"/>
  <c r="V276" i="5"/>
  <c r="V277" i="5"/>
  <c r="V278" i="5"/>
  <c r="X278" i="5"/>
  <c r="V279" i="5"/>
  <c r="V280" i="5"/>
  <c r="R280" i="5" s="1"/>
  <c r="V281" i="5"/>
  <c r="V282" i="5"/>
  <c r="V283" i="5"/>
  <c r="V284" i="5"/>
  <c r="V285" i="5"/>
  <c r="V286" i="5"/>
  <c r="R286" i="5" s="1"/>
  <c r="V287" i="5"/>
  <c r="V288" i="5"/>
  <c r="R288" i="5" s="1"/>
  <c r="V289" i="5"/>
  <c r="V290" i="5"/>
  <c r="X290" i="5"/>
  <c r="V291" i="5"/>
  <c r="V292" i="5"/>
  <c r="V293" i="5"/>
  <c r="V294" i="5"/>
  <c r="V295" i="5"/>
  <c r="V296" i="5"/>
  <c r="V297" i="5"/>
  <c r="V298" i="5"/>
  <c r="X298" i="5"/>
  <c r="V299" i="5"/>
  <c r="V300" i="5"/>
  <c r="V301" i="5"/>
  <c r="R301" i="5" s="1"/>
  <c r="V302" i="5"/>
  <c r="X302" i="5"/>
  <c r="V303" i="5"/>
  <c r="V304" i="5"/>
  <c r="V305" i="5"/>
  <c r="V306" i="5"/>
  <c r="V307" i="5"/>
  <c r="V308" i="5"/>
  <c r="V309" i="5"/>
  <c r="R309" i="5" s="1"/>
  <c r="V310" i="5"/>
  <c r="X310" i="5"/>
  <c r="V311" i="5"/>
  <c r="V312" i="5"/>
  <c r="V313" i="5"/>
  <c r="V314" i="5"/>
  <c r="V315" i="5"/>
  <c r="V316" i="5"/>
  <c r="R316" i="5" s="1"/>
  <c r="V317" i="5"/>
  <c r="V318" i="5"/>
  <c r="X318" i="5"/>
  <c r="V319" i="5"/>
  <c r="V320" i="5"/>
  <c r="V321" i="5"/>
  <c r="V322" i="5"/>
  <c r="R322" i="5" s="1"/>
  <c r="V323" i="5"/>
  <c r="V324" i="5"/>
  <c r="V325" i="5"/>
  <c r="V326" i="5"/>
  <c r="V327" i="5"/>
  <c r="V328" i="5"/>
  <c r="V329" i="5"/>
  <c r="R329" i="5" s="1"/>
  <c r="V330" i="5"/>
  <c r="V331" i="5"/>
  <c r="R331" i="5" s="1"/>
  <c r="V332" i="5"/>
  <c r="V333" i="5"/>
  <c r="R333" i="5" s="1"/>
  <c r="V334" i="5"/>
  <c r="V335" i="5"/>
  <c r="V336" i="5"/>
  <c r="V337" i="5"/>
  <c r="V338" i="5"/>
  <c r="R338" i="5" s="1"/>
  <c r="V339" i="5"/>
  <c r="V340" i="5"/>
  <c r="V341" i="5"/>
  <c r="V342" i="5"/>
  <c r="V343" i="5"/>
  <c r="V344" i="5"/>
  <c r="V345" i="5"/>
  <c r="R345" i="5" s="1"/>
  <c r="V346" i="5"/>
  <c r="V347" i="5"/>
  <c r="R347" i="5" s="1"/>
  <c r="V348" i="5"/>
  <c r="V349" i="5"/>
  <c r="R349" i="5" s="1"/>
  <c r="V350" i="5"/>
  <c r="V351" i="5"/>
  <c r="V352" i="5"/>
  <c r="V353" i="5"/>
  <c r="R353" i="5" s="1"/>
  <c r="V354" i="5"/>
  <c r="V355" i="5"/>
  <c r="V356" i="5"/>
  <c r="V357" i="5"/>
  <c r="V358" i="5"/>
  <c r="V359" i="5"/>
  <c r="V360" i="5"/>
  <c r="V361" i="5"/>
  <c r="V362" i="5"/>
  <c r="V363" i="5"/>
  <c r="R363" i="5" s="1"/>
  <c r="V364" i="5"/>
  <c r="V365" i="5"/>
  <c r="V366" i="5"/>
  <c r="V367" i="5"/>
  <c r="V368" i="5"/>
  <c r="V369" i="5"/>
  <c r="V370" i="5"/>
  <c r="V371" i="5"/>
  <c r="R371" i="5" s="1"/>
  <c r="V372" i="5"/>
  <c r="V373" i="5"/>
  <c r="R373" i="5" s="1"/>
  <c r="V374" i="5"/>
  <c r="V375" i="5"/>
  <c r="V376" i="5"/>
  <c r="V377" i="5"/>
  <c r="V378" i="5"/>
  <c r="V379" i="5"/>
  <c r="R379" i="5" s="1"/>
  <c r="V380" i="5"/>
  <c r="V381" i="5"/>
  <c r="R381" i="5" s="1"/>
  <c r="V382" i="5"/>
  <c r="V383" i="5"/>
  <c r="V384" i="5"/>
  <c r="V385" i="5"/>
  <c r="R385" i="5" s="1"/>
  <c r="V386" i="5"/>
  <c r="V387" i="5"/>
  <c r="V388" i="5"/>
  <c r="V389" i="5"/>
  <c r="R389" i="5" s="1"/>
  <c r="V390" i="5"/>
  <c r="V391" i="5"/>
  <c r="V392" i="5"/>
  <c r="V393" i="5"/>
  <c r="V394" i="5"/>
  <c r="V395" i="5"/>
  <c r="R395" i="5" s="1"/>
  <c r="V396" i="5"/>
  <c r="V397" i="5"/>
  <c r="V398" i="5"/>
  <c r="V399" i="5"/>
  <c r="V400" i="5"/>
  <c r="V401" i="5"/>
  <c r="V402" i="5"/>
  <c r="V403" i="5"/>
  <c r="V404" i="5"/>
  <c r="V405" i="5"/>
  <c r="R405" i="5" s="1"/>
  <c r="V406" i="5"/>
  <c r="V407" i="5"/>
  <c r="V408" i="5"/>
  <c r="V409" i="5"/>
  <c r="R409" i="5" s="1"/>
  <c r="V410" i="5"/>
  <c r="V411" i="5"/>
  <c r="R411" i="5" s="1"/>
  <c r="V412" i="5"/>
  <c r="V413" i="5"/>
  <c r="V414" i="5"/>
  <c r="V415" i="5"/>
  <c r="V416" i="5"/>
  <c r="V417" i="5"/>
  <c r="R417" i="5" s="1"/>
  <c r="V418" i="5"/>
  <c r="V419" i="5"/>
  <c r="R419" i="5" s="1"/>
  <c r="V420" i="5"/>
  <c r="V421" i="5"/>
  <c r="V422" i="5"/>
  <c r="V423" i="5"/>
  <c r="V424" i="5"/>
  <c r="V425" i="5"/>
  <c r="R425" i="5" s="1"/>
  <c r="V426" i="5"/>
  <c r="V427" i="5"/>
  <c r="R427" i="5" s="1"/>
  <c r="V428" i="5"/>
  <c r="V429" i="5"/>
  <c r="V430" i="5"/>
  <c r="V431" i="5"/>
  <c r="V432" i="5"/>
  <c r="V433" i="5"/>
  <c r="R433" i="5" s="1"/>
  <c r="V434" i="5"/>
  <c r="V435" i="5"/>
  <c r="R435" i="5" s="1"/>
  <c r="V436" i="5"/>
  <c r="V437" i="5"/>
  <c r="V438" i="5"/>
  <c r="V439" i="5"/>
  <c r="V440" i="5"/>
  <c r="V441" i="5"/>
  <c r="V442" i="5"/>
  <c r="V443" i="5"/>
  <c r="R443" i="5" s="1"/>
  <c r="V444" i="5"/>
  <c r="V445" i="5"/>
  <c r="V446" i="5"/>
  <c r="V447" i="5"/>
  <c r="V448" i="5"/>
  <c r="V449" i="5"/>
  <c r="V450" i="5"/>
  <c r="V451" i="5"/>
  <c r="R451" i="5" s="1"/>
  <c r="V452" i="5"/>
  <c r="V453" i="5"/>
  <c r="R453" i="5" s="1"/>
  <c r="V454" i="5"/>
  <c r="V455" i="5"/>
  <c r="V456" i="5"/>
  <c r="V457" i="5"/>
  <c r="V458" i="5"/>
  <c r="V459" i="5"/>
  <c r="R459" i="5" s="1"/>
  <c r="V460" i="5"/>
  <c r="V461" i="5"/>
  <c r="R461" i="5" s="1"/>
  <c r="V462" i="5"/>
  <c r="V463" i="5"/>
  <c r="V464" i="5"/>
  <c r="V465" i="5"/>
  <c r="V466" i="5"/>
  <c r="V467" i="5"/>
  <c r="R467" i="5" s="1"/>
  <c r="V468" i="5"/>
  <c r="V469" i="5"/>
  <c r="V470" i="5"/>
  <c r="X470" i="5"/>
  <c r="V471" i="5"/>
  <c r="V472" i="5"/>
  <c r="V473" i="5"/>
  <c r="V474" i="5"/>
  <c r="R474" i="5" s="1"/>
  <c r="V475" i="5"/>
  <c r="V476" i="5"/>
  <c r="R476" i="5" s="1"/>
  <c r="V477" i="5"/>
  <c r="V478" i="5"/>
  <c r="V479" i="5"/>
  <c r="V480" i="5"/>
  <c r="R480" i="5" s="1"/>
  <c r="V481" i="5"/>
  <c r="V482" i="5"/>
  <c r="R482" i="5" s="1"/>
  <c r="X482" i="5"/>
  <c r="V483" i="5"/>
  <c r="V484" i="5"/>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X503" i="5" s="1"/>
  <c r="V504" i="5"/>
  <c r="E504" i="5"/>
  <c r="X504" i="5" s="1"/>
  <c r="V505" i="5"/>
  <c r="E505" i="5"/>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V534" i="5"/>
  <c r="E534" i="5"/>
  <c r="X534" i="5" s="1"/>
  <c r="V535" i="5"/>
  <c r="E535" i="5"/>
  <c r="X535" i="5" s="1"/>
  <c r="V536" i="5"/>
  <c r="E536" i="5"/>
  <c r="X536" i="5" s="1"/>
  <c r="V537" i="5"/>
  <c r="E537" i="5"/>
  <c r="V538" i="5"/>
  <c r="E538" i="5"/>
  <c r="X538" i="5" s="1"/>
  <c r="V539" i="5"/>
  <c r="E539" i="5"/>
  <c r="X539" i="5" s="1"/>
  <c r="V540" i="5"/>
  <c r="E540" i="5"/>
  <c r="X540" i="5" s="1"/>
  <c r="V541" i="5"/>
  <c r="E541" i="5"/>
  <c r="X541" i="5" s="1"/>
  <c r="V542" i="5"/>
  <c r="E542" i="5"/>
  <c r="X542" i="5" s="1"/>
  <c r="V543" i="5"/>
  <c r="E543" i="5"/>
  <c r="X543" i="5" s="1"/>
  <c r="V544" i="5"/>
  <c r="E544" i="5"/>
  <c r="X544" i="5" s="1"/>
  <c r="V545" i="5"/>
  <c r="E545" i="5"/>
  <c r="V546" i="5"/>
  <c r="E546" i="5"/>
  <c r="X546" i="5" s="1"/>
  <c r="V547" i="5"/>
  <c r="E547" i="5"/>
  <c r="X547" i="5" s="1"/>
  <c r="V548" i="5"/>
  <c r="E548" i="5"/>
  <c r="X548" i="5" s="1"/>
  <c r="V549" i="5"/>
  <c r="E549" i="5"/>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X559" i="5" s="1"/>
  <c r="V560" i="5"/>
  <c r="E560" i="5"/>
  <c r="X560" i="5" s="1"/>
  <c r="V561" i="5"/>
  <c r="E561" i="5"/>
  <c r="V562" i="5"/>
  <c r="E562" i="5"/>
  <c r="X562" i="5" s="1"/>
  <c r="V563" i="5"/>
  <c r="E563" i="5"/>
  <c r="X563" i="5" s="1"/>
  <c r="V564" i="5"/>
  <c r="E564" i="5"/>
  <c r="X564" i="5" s="1"/>
  <c r="V565" i="5"/>
  <c r="E565" i="5"/>
  <c r="V566" i="5"/>
  <c r="E566" i="5"/>
  <c r="X566" i="5" s="1"/>
  <c r="V567" i="5"/>
  <c r="E567" i="5"/>
  <c r="X567" i="5" s="1"/>
  <c r="V568" i="5"/>
  <c r="E568" i="5"/>
  <c r="X568" i="5" s="1"/>
  <c r="V569" i="5"/>
  <c r="E569" i="5"/>
  <c r="X569" i="5" s="1"/>
  <c r="V570" i="5"/>
  <c r="E570" i="5"/>
  <c r="X570" i="5" s="1"/>
  <c r="V571" i="5"/>
  <c r="E571" i="5"/>
  <c r="X571" i="5" s="1"/>
  <c r="V572" i="5"/>
  <c r="E572" i="5"/>
  <c r="X572" i="5" s="1"/>
  <c r="V573" i="5"/>
  <c r="E573" i="5"/>
  <c r="V574" i="5"/>
  <c r="E574" i="5"/>
  <c r="X574" i="5" s="1"/>
  <c r="V575" i="5"/>
  <c r="E575" i="5"/>
  <c r="X575" i="5" s="1"/>
  <c r="V576" i="5"/>
  <c r="E576" i="5"/>
  <c r="X576" i="5" s="1"/>
  <c r="V577" i="5"/>
  <c r="E577" i="5"/>
  <c r="X577" i="5" s="1"/>
  <c r="V578" i="5"/>
  <c r="E578" i="5"/>
  <c r="X578" i="5" s="1"/>
  <c r="V579" i="5"/>
  <c r="E579" i="5"/>
  <c r="X579" i="5" s="1"/>
  <c r="V580" i="5"/>
  <c r="E580" i="5"/>
  <c r="X580" i="5" s="1"/>
  <c r="V581" i="5"/>
  <c r="E581" i="5"/>
  <c r="V582" i="5"/>
  <c r="E582" i="5"/>
  <c r="X582" i="5" s="1"/>
  <c r="V583" i="5"/>
  <c r="E583" i="5"/>
  <c r="X583" i="5" s="1"/>
  <c r="V584" i="5"/>
  <c r="E584" i="5"/>
  <c r="X584" i="5" s="1"/>
  <c r="V585" i="5"/>
  <c r="E585" i="5"/>
  <c r="X585" i="5" s="1"/>
  <c r="V586" i="5"/>
  <c r="E586" i="5"/>
  <c r="X586" i="5" s="1"/>
  <c r="V587" i="5"/>
  <c r="E587" i="5"/>
  <c r="X587" i="5" s="1"/>
  <c r="V588" i="5"/>
  <c r="E588" i="5"/>
  <c r="X588" i="5" s="1"/>
  <c r="V589" i="5"/>
  <c r="E589" i="5"/>
  <c r="V590" i="5"/>
  <c r="E590" i="5"/>
  <c r="X590" i="5" s="1"/>
  <c r="V591" i="5"/>
  <c r="E591" i="5"/>
  <c r="X591" i="5" s="1"/>
  <c r="V592" i="5"/>
  <c r="E592" i="5"/>
  <c r="X592" i="5" s="1"/>
  <c r="V593" i="5"/>
  <c r="E593" i="5"/>
  <c r="X593" i="5" s="1"/>
  <c r="V594" i="5"/>
  <c r="E594" i="5"/>
  <c r="X594" i="5" s="1"/>
  <c r="V595" i="5"/>
  <c r="E595" i="5"/>
  <c r="X595" i="5" s="1"/>
  <c r="V596" i="5"/>
  <c r="E596" i="5"/>
  <c r="X596" i="5" s="1"/>
  <c r="V597" i="5"/>
  <c r="E597" i="5"/>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V610" i="5"/>
  <c r="E610" i="5"/>
  <c r="X610" i="5" s="1"/>
  <c r="V611" i="5"/>
  <c r="E611" i="5"/>
  <c r="X611" i="5" s="1"/>
  <c r="V612" i="5"/>
  <c r="E612" i="5"/>
  <c r="X612" i="5" s="1"/>
  <c r="V613" i="5"/>
  <c r="E613" i="5"/>
  <c r="X613" i="5" s="1"/>
  <c r="V614" i="5"/>
  <c r="E614" i="5"/>
  <c r="X614" i="5" s="1"/>
  <c r="V615" i="5"/>
  <c r="E615" i="5"/>
  <c r="X615" i="5" s="1"/>
  <c r="V616" i="5"/>
  <c r="E616" i="5"/>
  <c r="X616" i="5" s="1"/>
  <c r="V617" i="5"/>
  <c r="E617" i="5"/>
  <c r="V618" i="5"/>
  <c r="E618" i="5"/>
  <c r="X618" i="5" s="1"/>
  <c r="V619" i="5"/>
  <c r="E619" i="5"/>
  <c r="X619" i="5" s="1"/>
  <c r="V620" i="5"/>
  <c r="E620" i="5"/>
  <c r="X620" i="5" s="1"/>
  <c r="V621" i="5"/>
  <c r="E621" i="5"/>
  <c r="V622" i="5"/>
  <c r="E622" i="5"/>
  <c r="X622" i="5" s="1"/>
  <c r="V623" i="5"/>
  <c r="E623" i="5"/>
  <c r="X623" i="5" s="1"/>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X635" i="5" s="1"/>
  <c r="V636" i="5"/>
  <c r="E636" i="5"/>
  <c r="X636" i="5" s="1"/>
  <c r="V637" i="5"/>
  <c r="E637" i="5"/>
  <c r="V638" i="5"/>
  <c r="E638" i="5"/>
  <c r="X638" i="5" s="1"/>
  <c r="V639" i="5"/>
  <c r="E639" i="5"/>
  <c r="X639" i="5" s="1"/>
  <c r="V640" i="5"/>
  <c r="E640" i="5"/>
  <c r="X640" i="5" s="1"/>
  <c r="V641" i="5"/>
  <c r="E641" i="5"/>
  <c r="X641" i="5" s="1"/>
  <c r="V642" i="5"/>
  <c r="E642" i="5"/>
  <c r="X642" i="5" s="1"/>
  <c r="V643" i="5"/>
  <c r="E643" i="5"/>
  <c r="X643" i="5" s="1"/>
  <c r="V644" i="5"/>
  <c r="E644" i="5"/>
  <c r="X644" i="5" s="1"/>
  <c r="V645" i="5"/>
  <c r="E645" i="5"/>
  <c r="V646" i="5"/>
  <c r="E646" i="5"/>
  <c r="X646" i="5" s="1"/>
  <c r="V647" i="5"/>
  <c r="E647" i="5"/>
  <c r="X647" i="5" s="1"/>
  <c r="V648" i="5"/>
  <c r="E648" i="5"/>
  <c r="X648" i="5" s="1"/>
  <c r="V649" i="5"/>
  <c r="E649" i="5"/>
  <c r="X649" i="5" s="1"/>
  <c r="V650" i="5"/>
  <c r="E650" i="5"/>
  <c r="X650" i="5" s="1"/>
  <c r="V651" i="5"/>
  <c r="E651" i="5"/>
  <c r="X651" i="5" s="1"/>
  <c r="V652" i="5"/>
  <c r="E652" i="5"/>
  <c r="X652" i="5" s="1"/>
  <c r="V653" i="5"/>
  <c r="E653" i="5"/>
  <c r="X653" i="5" s="1"/>
  <c r="V654" i="5"/>
  <c r="E654" i="5"/>
  <c r="X654" i="5" s="1"/>
  <c r="V655" i="5"/>
  <c r="E655" i="5"/>
  <c r="X655" i="5" s="1"/>
  <c r="V656" i="5"/>
  <c r="E656" i="5"/>
  <c r="X656" i="5" s="1"/>
  <c r="V657" i="5"/>
  <c r="E657" i="5"/>
  <c r="X657" i="5" s="1"/>
  <c r="V658" i="5"/>
  <c r="E658" i="5"/>
  <c r="X658" i="5" s="1"/>
  <c r="V659" i="5"/>
  <c r="E659" i="5"/>
  <c r="X659" i="5" s="1"/>
  <c r="V660" i="5"/>
  <c r="E660" i="5"/>
  <c r="X660" i="5" s="1"/>
  <c r="V661" i="5"/>
  <c r="E661" i="5"/>
  <c r="V662" i="5"/>
  <c r="E662" i="5"/>
  <c r="X662" i="5" s="1"/>
  <c r="V663" i="5"/>
  <c r="E663" i="5"/>
  <c r="X663" i="5" s="1"/>
  <c r="V664" i="5"/>
  <c r="E664" i="5"/>
  <c r="X664" i="5" s="1"/>
  <c r="V665" i="5"/>
  <c r="E665" i="5"/>
  <c r="X665" i="5" s="1"/>
  <c r="V666" i="5"/>
  <c r="E666" i="5"/>
  <c r="X666" i="5" s="1"/>
  <c r="V667" i="5"/>
  <c r="E667" i="5"/>
  <c r="X667" i="5" s="1"/>
  <c r="V668" i="5"/>
  <c r="E668" i="5"/>
  <c r="X668" i="5" s="1"/>
  <c r="V669" i="5"/>
  <c r="E669" i="5"/>
  <c r="V670" i="5"/>
  <c r="E670" i="5"/>
  <c r="X670" i="5" s="1"/>
  <c r="V671" i="5"/>
  <c r="E671" i="5"/>
  <c r="X671" i="5" s="1"/>
  <c r="V672" i="5"/>
  <c r="E672" i="5"/>
  <c r="X672" i="5" s="1"/>
  <c r="V673" i="5"/>
  <c r="E673" i="5"/>
  <c r="X673" i="5" s="1"/>
  <c r="V674" i="5"/>
  <c r="E674" i="5"/>
  <c r="X674" i="5" s="1"/>
  <c r="V675" i="5"/>
  <c r="E675" i="5"/>
  <c r="X675" i="5" s="1"/>
  <c r="V676" i="5"/>
  <c r="E676" i="5"/>
  <c r="X676" i="5" s="1"/>
  <c r="V677" i="5"/>
  <c r="E677" i="5"/>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V702" i="5"/>
  <c r="E702" i="5"/>
  <c r="X702" i="5" s="1"/>
  <c r="V703" i="5"/>
  <c r="E703" i="5"/>
  <c r="X703" i="5" s="1"/>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V750" i="5"/>
  <c r="E750" i="5"/>
  <c r="X750" i="5" s="1"/>
  <c r="V751" i="5"/>
  <c r="E751" i="5"/>
  <c r="X751" i="5" s="1"/>
  <c r="V752" i="5"/>
  <c r="E752" i="5"/>
  <c r="X752" i="5" s="1"/>
  <c r="V753" i="5"/>
  <c r="E753" i="5"/>
  <c r="X753" i="5" s="1"/>
  <c r="V754" i="5"/>
  <c r="E754" i="5"/>
  <c r="X754" i="5" s="1"/>
  <c r="V755" i="5"/>
  <c r="E755" i="5"/>
  <c r="X755" i="5" s="1"/>
  <c r="V756" i="5"/>
  <c r="E756" i="5"/>
  <c r="X756" i="5" s="1"/>
  <c r="V757" i="5"/>
  <c r="E757" i="5"/>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X823" i="5" s="1"/>
  <c r="V824" i="5"/>
  <c r="E824" i="5"/>
  <c r="X824" i="5" s="1"/>
  <c r="V825" i="5"/>
  <c r="E825" i="5"/>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X867" i="5" s="1"/>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V978" i="5"/>
  <c r="E978" i="5"/>
  <c r="X978" i="5" s="1"/>
  <c r="V979" i="5"/>
  <c r="E979" i="5"/>
  <c r="X979" i="5" s="1"/>
  <c r="V980" i="5"/>
  <c r="E980" i="5"/>
  <c r="X980" i="5" s="1"/>
  <c r="V981" i="5"/>
  <c r="E981" i="5"/>
  <c r="X981" i="5" s="1"/>
  <c r="V982" i="5"/>
  <c r="E982" i="5"/>
  <c r="X982" i="5" s="1"/>
  <c r="V983" i="5"/>
  <c r="E983" i="5"/>
  <c r="X983" i="5" s="1"/>
  <c r="V984" i="5"/>
  <c r="E984" i="5"/>
  <c r="X984" i="5" s="1"/>
  <c r="V985" i="5"/>
  <c r="E985" i="5"/>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X1079" i="5" s="1"/>
  <c r="V1080" i="5"/>
  <c r="E1080" i="5"/>
  <c r="X1080" i="5" s="1"/>
  <c r="V1081" i="5"/>
  <c r="E1081" i="5"/>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X1283" i="5" s="1"/>
  <c r="V1284" i="5"/>
  <c r="E1284" i="5"/>
  <c r="X1284" i="5" s="1"/>
  <c r="V1285" i="5"/>
  <c r="E1285" i="5"/>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V1294" i="5"/>
  <c r="E1294" i="5"/>
  <c r="X1294" i="5" s="1"/>
  <c r="V1295" i="5"/>
  <c r="E1295" i="5"/>
  <c r="X1295" i="5" s="1"/>
  <c r="V1296" i="5"/>
  <c r="E1296" i="5"/>
  <c r="X1296" i="5" s="1"/>
  <c r="V1297" i="5"/>
  <c r="E1297" i="5"/>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V1318" i="5"/>
  <c r="E1318" i="5"/>
  <c r="X1318" i="5" s="1"/>
  <c r="V1319" i="5"/>
  <c r="E1319" i="5"/>
  <c r="X1319" i="5" s="1"/>
  <c r="V1320" i="5"/>
  <c r="E1320" i="5"/>
  <c r="X1320" i="5" s="1"/>
  <c r="V1321" i="5"/>
  <c r="E1321" i="5"/>
  <c r="V1322" i="5"/>
  <c r="E1322" i="5"/>
  <c r="X1322" i="5" s="1"/>
  <c r="V1323" i="5"/>
  <c r="E1323" i="5"/>
  <c r="X1323" i="5" s="1"/>
  <c r="V1324" i="5"/>
  <c r="E1324" i="5"/>
  <c r="X1324" i="5" s="1"/>
  <c r="V1325" i="5"/>
  <c r="E1325" i="5"/>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V1438" i="5"/>
  <c r="E1438" i="5"/>
  <c r="X1438" i="5" s="1"/>
  <c r="V1439" i="5"/>
  <c r="E1439" i="5"/>
  <c r="X1439" i="5" s="1"/>
  <c r="V1440" i="5"/>
  <c r="E1440" i="5"/>
  <c r="X1440" i="5" s="1"/>
  <c r="V1441" i="5"/>
  <c r="E1441" i="5"/>
  <c r="V1442" i="5"/>
  <c r="E1442" i="5"/>
  <c r="X1442" i="5" s="1"/>
  <c r="V1443" i="5"/>
  <c r="E1443" i="5"/>
  <c r="X1443" i="5" s="1"/>
  <c r="V1444" i="5"/>
  <c r="E1444" i="5"/>
  <c r="X1444" i="5" s="1"/>
  <c r="V1445" i="5"/>
  <c r="E1445" i="5"/>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V1470" i="5"/>
  <c r="E1470" i="5"/>
  <c r="X1470" i="5" s="1"/>
  <c r="V1471" i="5"/>
  <c r="E1471" i="5"/>
  <c r="X1471" i="5" s="1"/>
  <c r="V1472" i="5"/>
  <c r="E1472" i="5"/>
  <c r="X1472" i="5" s="1"/>
  <c r="V1473" i="5"/>
  <c r="E1473" i="5"/>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V1602" i="5"/>
  <c r="E1602" i="5"/>
  <c r="X1602" i="5" s="1"/>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V1698" i="5"/>
  <c r="E1698" i="5"/>
  <c r="X1698" i="5" s="1"/>
  <c r="V1699" i="5"/>
  <c r="E1699" i="5"/>
  <c r="X1699" i="5" s="1"/>
  <c r="V1700" i="5"/>
  <c r="E1700" i="5"/>
  <c r="X1700" i="5" s="1"/>
  <c r="V1701" i="5"/>
  <c r="E1701" i="5"/>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X1739" i="5" s="1"/>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V1834" i="5"/>
  <c r="E1834" i="5"/>
  <c r="X1834" i="5" s="1"/>
  <c r="V1835" i="5"/>
  <c r="E1835" i="5"/>
  <c r="X1835" i="5" s="1"/>
  <c r="V1836" i="5"/>
  <c r="E1836" i="5"/>
  <c r="X1836" i="5" s="1"/>
  <c r="V1837" i="5"/>
  <c r="E1837" i="5"/>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c r="B59" i="6"/>
  <c r="G59" i="6" s="1"/>
  <c r="B58" i="6"/>
  <c r="G58" i="6" s="1"/>
  <c r="B57" i="6"/>
  <c r="G57" i="6" s="1"/>
  <c r="B56" i="6"/>
  <c r="G56" i="6"/>
  <c r="B55" i="6"/>
  <c r="G55" i="6" s="1"/>
  <c r="B54" i="6"/>
  <c r="G54" i="6" s="1"/>
  <c r="B17" i="6"/>
  <c r="B16" i="6"/>
  <c r="F21" i="6" s="1"/>
  <c r="B15" i="6"/>
  <c r="G15" i="6" s="1"/>
  <c r="H15" i="6" s="1"/>
  <c r="B14" i="6"/>
  <c r="G14" i="6" s="1"/>
  <c r="H14" i="6" s="1"/>
  <c r="D14" i="6" s="1"/>
  <c r="H13" i="6"/>
  <c r="B12" i="6"/>
  <c r="G12" i="6"/>
  <c r="H12" i="6" s="1"/>
  <c r="B11" i="6"/>
  <c r="G11" i="6" s="1"/>
  <c r="H11" i="6" s="1"/>
  <c r="D11" i="6" s="1"/>
  <c r="G9" i="6"/>
  <c r="H9" i="6"/>
  <c r="B8" i="6"/>
  <c r="G8" i="6" s="1"/>
  <c r="H8" i="6" s="1"/>
  <c r="B7" i="6"/>
  <c r="G7" i="6" s="1"/>
  <c r="H7" i="6" s="1"/>
  <c r="B6" i="6"/>
  <c r="G6" i="6" s="1"/>
  <c r="B5" i="6"/>
  <c r="F6" i="6" s="1"/>
  <c r="B4" i="6"/>
  <c r="G4" i="6" s="1"/>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41" i="5"/>
  <c r="R440" i="5"/>
  <c r="X437" i="5"/>
  <c r="R432" i="5"/>
  <c r="R424" i="5"/>
  <c r="R416" i="5"/>
  <c r="R408" i="5"/>
  <c r="R400" i="5"/>
  <c r="X377" i="5"/>
  <c r="R369" i="5"/>
  <c r="R336" i="5"/>
  <c r="R332" i="5"/>
  <c r="R313" i="5"/>
  <c r="R283" i="5"/>
  <c r="X271" i="5"/>
  <c r="X269" i="5"/>
  <c r="R263" i="5"/>
  <c r="X257" i="5"/>
  <c r="R255" i="5"/>
  <c r="R233" i="5"/>
  <c r="X213" i="5"/>
  <c r="X210" i="5"/>
  <c r="R205" i="5"/>
  <c r="X190" i="5"/>
  <c r="R157" i="5"/>
  <c r="R153" i="5"/>
  <c r="X150" i="5"/>
  <c r="R137" i="5"/>
  <c r="X123" i="5"/>
  <c r="R121" i="5"/>
  <c r="R98" i="5"/>
  <c r="R96" i="5"/>
  <c r="X94" i="5"/>
  <c r="R92" i="5"/>
  <c r="R85" i="5"/>
  <c r="R84" i="5"/>
  <c r="R82" i="5"/>
  <c r="R80" i="5"/>
  <c r="R78" i="5"/>
  <c r="R76" i="5"/>
  <c r="R72" i="5"/>
  <c r="R69" i="5"/>
  <c r="R66" i="5"/>
  <c r="R65" i="5"/>
  <c r="R64" i="5"/>
  <c r="R62" i="5"/>
  <c r="R56" i="5"/>
  <c r="R53" i="5"/>
  <c r="R52" i="5"/>
  <c r="R50" i="5"/>
  <c r="R49" i="5"/>
  <c r="R48" i="5"/>
  <c r="R44" i="5"/>
  <c r="R40" i="5"/>
  <c r="R37" i="5"/>
  <c r="R36" i="5"/>
  <c r="R34" i="5"/>
  <c r="R33" i="5"/>
  <c r="R20" i="5"/>
  <c r="AB18" i="5"/>
  <c r="R6" i="5"/>
  <c r="AB6" i="5"/>
  <c r="B90" i="4"/>
  <c r="H67" i="4"/>
  <c r="P47" i="4"/>
  <c r="P46" i="4"/>
  <c r="B46" i="4" s="1"/>
  <c r="A31" i="6" s="1"/>
  <c r="P45" i="4"/>
  <c r="P44" i="4"/>
  <c r="P43" i="4"/>
  <c r="Q43" i="4" s="1"/>
  <c r="P41" i="4"/>
  <c r="B41" i="4" s="1"/>
  <c r="P40" i="4"/>
  <c r="P39" i="4"/>
  <c r="P38" i="4"/>
  <c r="B38" i="4" s="1"/>
  <c r="P37" i="4"/>
  <c r="Q37" i="4" s="1"/>
  <c r="P35" i="4"/>
  <c r="P34" i="4"/>
  <c r="P33" i="4"/>
  <c r="P32" i="4"/>
  <c r="P31" i="4"/>
  <c r="Q31" i="4"/>
  <c r="P29" i="4"/>
  <c r="P28" i="4"/>
  <c r="B28" i="4" s="1"/>
  <c r="B34" i="4" s="1"/>
  <c r="A21" i="6" s="1"/>
  <c r="P27" i="4"/>
  <c r="P26" i="4"/>
  <c r="D11" i="4"/>
  <c r="A5" i="4"/>
  <c r="Q4" i="5"/>
  <c r="S2015" i="5"/>
  <c r="AB1624" i="5"/>
  <c r="S1770" i="5"/>
  <c r="S1477" i="5"/>
  <c r="AB2465" i="5"/>
  <c r="AB720" i="5"/>
  <c r="AB841" i="5"/>
  <c r="AB1757" i="5"/>
  <c r="AB858" i="5"/>
  <c r="AB552" i="5"/>
  <c r="AB1691" i="5"/>
  <c r="AB1731" i="5"/>
  <c r="AB2088" i="5"/>
  <c r="AB41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AB348" i="5"/>
  <c r="AB1079" i="5"/>
  <c r="AB1110" i="5"/>
  <c r="J1479" i="5"/>
  <c r="S1899" i="5"/>
  <c r="AB2480" i="5"/>
  <c r="H2499" i="5"/>
  <c r="AB164" i="5"/>
  <c r="X405"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H1753" i="5"/>
  <c r="X75" i="5"/>
  <c r="I764" i="5"/>
  <c r="I2158" i="5"/>
  <c r="R70" i="5"/>
  <c r="AB364" i="5"/>
  <c r="R488" i="5"/>
  <c r="H1178" i="5"/>
  <c r="J1218" i="5"/>
  <c r="J1250" i="5"/>
  <c r="AB1312" i="5"/>
  <c r="F2013" i="5"/>
  <c r="AB2065" i="5"/>
  <c r="AB2152" i="5"/>
  <c r="H2474" i="5"/>
  <c r="X171" i="5"/>
  <c r="AB196"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R281"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I802" i="5"/>
  <c r="F802" i="5"/>
  <c r="I940" i="5"/>
  <c r="H940" i="5"/>
  <c r="R780" i="5"/>
  <c r="I780" i="5"/>
  <c r="R630" i="5"/>
  <c r="R612" i="5"/>
  <c r="F612" i="5"/>
  <c r="H1165" i="5"/>
  <c r="F1165" i="5"/>
  <c r="F539" i="5"/>
  <c r="I539" i="5"/>
  <c r="J782" i="5"/>
  <c r="R376" i="5"/>
  <c r="F594" i="5"/>
  <c r="S1305" i="5"/>
  <c r="AB1743" i="5"/>
  <c r="S1743" i="5"/>
  <c r="AB1802" i="5"/>
  <c r="F1909" i="5"/>
  <c r="R1909" i="5"/>
  <c r="H1909" i="5"/>
  <c r="R2458" i="5"/>
  <c r="I2458" i="5"/>
  <c r="AB30" i="5"/>
  <c r="AB126" i="5"/>
  <c r="AB438" i="5"/>
  <c r="AB459" i="5"/>
  <c r="AB598" i="5"/>
  <c r="S714" i="5"/>
  <c r="S717" i="5"/>
  <c r="H753" i="5"/>
  <c r="AB794" i="5"/>
  <c r="S817" i="5"/>
  <c r="AB913" i="5"/>
  <c r="AB915" i="5"/>
  <c r="AB929" i="5"/>
  <c r="S1079" i="5"/>
  <c r="AB1095" i="5"/>
  <c r="S1127" i="5"/>
  <c r="AB1197" i="5"/>
  <c r="S1217" i="5"/>
  <c r="AB1276" i="5"/>
  <c r="S1276" i="5"/>
  <c r="R1520" i="5"/>
  <c r="J1520" i="5"/>
  <c r="S2440" i="5"/>
  <c r="S2214" i="5"/>
  <c r="S613" i="5"/>
  <c r="S750" i="5"/>
  <c r="S794" i="5"/>
  <c r="S838" i="5"/>
  <c r="S847" i="5"/>
  <c r="S915" i="5"/>
  <c r="S998" i="5"/>
  <c r="S1012" i="5"/>
  <c r="S1111" i="5"/>
  <c r="S1161" i="5"/>
  <c r="J1273" i="5"/>
  <c r="I1273" i="5"/>
  <c r="S1310" i="5"/>
  <c r="S1867" i="5"/>
  <c r="I2025" i="5"/>
  <c r="H2025" i="5"/>
  <c r="S2269" i="5"/>
  <c r="AB24"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AB218" i="5"/>
  <c r="AB235" i="5"/>
  <c r="AB368" i="5"/>
  <c r="AB400" i="5"/>
  <c r="X413"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X59" i="5"/>
  <c r="X235" i="5"/>
  <c r="X291"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X25" i="5"/>
  <c r="R97" i="5"/>
  <c r="X97" i="5"/>
  <c r="X79" i="5"/>
  <c r="X47" i="5"/>
  <c r="R127" i="5"/>
  <c r="X127" i="5"/>
  <c r="AB895" i="5"/>
  <c r="S895" i="5"/>
  <c r="AB1863" i="5"/>
  <c r="S1863" i="5"/>
  <c r="R54" i="5"/>
  <c r="R189" i="5"/>
  <c r="AB210" i="5"/>
  <c r="R225" i="5"/>
  <c r="X225" i="5"/>
  <c r="R463" i="5"/>
  <c r="F586" i="5"/>
  <c r="I714" i="5"/>
  <c r="J714" i="5"/>
  <c r="S738" i="5"/>
  <c r="R94" i="5"/>
  <c r="AB170" i="5"/>
  <c r="X452" i="5"/>
  <c r="S1497" i="5"/>
  <c r="X63" i="5"/>
  <c r="R237" i="5"/>
  <c r="X237" i="5"/>
  <c r="AB262" i="5"/>
  <c r="AB298" i="5"/>
  <c r="X107" i="5"/>
  <c r="R125" i="5"/>
  <c r="AB1447" i="5"/>
  <c r="S1447" i="5"/>
  <c r="R22" i="5"/>
  <c r="R90" i="5"/>
  <c r="AB114" i="5"/>
  <c r="R123" i="5"/>
  <c r="R167" i="5"/>
  <c r="X187" i="5"/>
  <c r="R187" i="5"/>
  <c r="X479" i="5"/>
  <c r="F574" i="5"/>
  <c r="S641" i="5"/>
  <c r="X468" i="5"/>
  <c r="R562" i="5"/>
  <c r="I1848" i="5"/>
  <c r="H1848" i="5"/>
  <c r="AB166" i="5"/>
  <c r="J552" i="5"/>
  <c r="H552" i="5"/>
  <c r="AB178" i="5"/>
  <c r="R299" i="5"/>
  <c r="X392" i="5"/>
  <c r="AB110" i="5"/>
  <c r="R107" i="5"/>
  <c r="AB150" i="5"/>
  <c r="AB186" i="5"/>
  <c r="R401" i="5"/>
  <c r="I507" i="5"/>
  <c r="F507" i="5"/>
  <c r="AB230" i="5"/>
  <c r="AB251" i="5"/>
  <c r="AB267"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604" i="5"/>
  <c r="R644" i="5"/>
  <c r="I722" i="5"/>
  <c r="J722" i="5"/>
  <c r="F788" i="5"/>
  <c r="R851" i="5"/>
  <c r="AB851" i="5"/>
  <c r="S916" i="5"/>
  <c r="S979" i="5"/>
  <c r="AB982" i="5"/>
  <c r="F986" i="5"/>
  <c r="H986" i="5"/>
  <c r="AB1026" i="5"/>
  <c r="S1026" i="5"/>
  <c r="F1086" i="5"/>
  <c r="AB1086" i="5"/>
  <c r="AB132" i="5"/>
  <c r="AB190" i="5"/>
  <c r="AB263" i="5"/>
  <c r="AB275" i="5"/>
  <c r="AB357" i="5"/>
  <c r="AB365" i="5"/>
  <c r="AB434" i="5"/>
  <c r="F498" i="5"/>
  <c r="AB551" i="5"/>
  <c r="F560" i="5"/>
  <c r="AB696" i="5"/>
  <c r="R696" i="5"/>
  <c r="S713" i="5"/>
  <c r="S745" i="5"/>
  <c r="AB808" i="5"/>
  <c r="H872" i="5"/>
  <c r="AB872" i="5"/>
  <c r="AB882" i="5"/>
  <c r="S882" i="5"/>
  <c r="S950" i="5"/>
  <c r="F975" i="5"/>
  <c r="H975" i="5"/>
  <c r="H1103" i="5"/>
  <c r="F1103" i="5"/>
  <c r="X175" i="5"/>
  <c r="R616" i="5"/>
  <c r="S639" i="5"/>
  <c r="S649" i="5"/>
  <c r="R685" i="5"/>
  <c r="H685" i="5"/>
  <c r="S733" i="5"/>
  <c r="F768" i="5"/>
  <c r="F786" i="5"/>
  <c r="AB836" i="5"/>
  <c r="S911" i="5"/>
  <c r="S927" i="5"/>
  <c r="S938" i="5"/>
  <c r="S976" i="5"/>
  <c r="AB1014" i="5"/>
  <c r="S1014" i="5"/>
  <c r="H1075" i="5"/>
  <c r="F1075" i="5"/>
  <c r="F1083" i="5"/>
  <c r="H1083" i="5"/>
  <c r="AB207" i="5"/>
  <c r="AB215" i="5"/>
  <c r="AB282" i="5"/>
  <c r="AB356" i="5"/>
  <c r="AB451"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AB396" i="5"/>
  <c r="AB404" i="5"/>
  <c r="AB414" i="5"/>
  <c r="AB422" i="5"/>
  <c r="AB458" i="5"/>
  <c r="AB468"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X61" i="5"/>
  <c r="R73" i="5"/>
  <c r="X73" i="5"/>
  <c r="R109" i="5"/>
  <c r="R133" i="5"/>
  <c r="R169" i="5"/>
  <c r="X169" i="5"/>
  <c r="X195" i="5"/>
  <c r="R195" i="5"/>
  <c r="X67" i="5"/>
  <c r="R19" i="5"/>
  <c r="X19" i="5"/>
  <c r="X35" i="5"/>
  <c r="R35" i="5"/>
  <c r="X139" i="5"/>
  <c r="X193" i="5"/>
  <c r="X227" i="5"/>
  <c r="R227" i="5"/>
  <c r="R41" i="5"/>
  <c r="X41" i="5"/>
  <c r="R143" i="5"/>
  <c r="X143" i="5"/>
  <c r="X177" i="5"/>
  <c r="X183" i="5"/>
  <c r="R183" i="5"/>
  <c r="R241" i="5"/>
  <c r="X247" i="5"/>
  <c r="R247" i="5"/>
  <c r="X259" i="5"/>
  <c r="R93" i="5"/>
  <c r="X93" i="5"/>
  <c r="R99" i="5"/>
  <c r="X99" i="5"/>
  <c r="R135" i="5"/>
  <c r="X135" i="5"/>
  <c r="X159" i="5"/>
  <c r="R159" i="5"/>
  <c r="X27" i="5"/>
  <c r="R27" i="5"/>
  <c r="R83" i="5"/>
  <c r="X83" i="5"/>
  <c r="R51" i="5"/>
  <c r="X51" i="5"/>
  <c r="R77" i="5"/>
  <c r="X77" i="5"/>
  <c r="X89" i="5"/>
  <c r="X129" i="5"/>
  <c r="R199" i="5"/>
  <c r="X199" i="5"/>
  <c r="X131" i="5"/>
  <c r="R131" i="5"/>
  <c r="R57" i="5"/>
  <c r="X57" i="5"/>
  <c r="R105" i="5"/>
  <c r="X105" i="5"/>
  <c r="X119" i="5"/>
  <c r="R119" i="5"/>
  <c r="R197" i="5"/>
  <c r="X223" i="5"/>
  <c r="R229" i="5"/>
  <c r="X229" i="5"/>
  <c r="R337" i="5"/>
  <c r="X337" i="5"/>
  <c r="X31" i="5"/>
  <c r="X113" i="5"/>
  <c r="R113" i="5"/>
  <c r="X155" i="5"/>
  <c r="R203" i="5"/>
  <c r="X203" i="5"/>
  <c r="R249" i="5"/>
  <c r="R55" i="5"/>
  <c r="AB140" i="5"/>
  <c r="AB156" i="5"/>
  <c r="AB160" i="5"/>
  <c r="R179" i="5"/>
  <c r="AB204" i="5"/>
  <c r="AB211" i="5"/>
  <c r="R267" i="5"/>
  <c r="R289" i="5"/>
  <c r="X289" i="5"/>
  <c r="X295" i="5"/>
  <c r="R295" i="5"/>
  <c r="R360" i="5"/>
  <c r="X404" i="5"/>
  <c r="R404" i="5"/>
  <c r="R437" i="5"/>
  <c r="X444" i="5"/>
  <c r="R444" i="5"/>
  <c r="X448" i="5"/>
  <c r="AB455" i="5"/>
  <c r="R457" i="5"/>
  <c r="X457" i="5"/>
  <c r="J492" i="5"/>
  <c r="H492" i="5"/>
  <c r="R492" i="5"/>
  <c r="J548" i="5"/>
  <c r="H548" i="5"/>
  <c r="F548" i="5"/>
  <c r="R693" i="5"/>
  <c r="J693" i="5"/>
  <c r="H693" i="5"/>
  <c r="R699" i="5"/>
  <c r="H699" i="5"/>
  <c r="R704" i="5"/>
  <c r="H704" i="5"/>
  <c r="AB222" i="5"/>
  <c r="AB254" i="5"/>
  <c r="AB258" i="5"/>
  <c r="AB270" i="5"/>
  <c r="AB363" i="5"/>
  <c r="X389" i="5"/>
  <c r="R421" i="5"/>
  <c r="X428" i="5"/>
  <c r="R428" i="5"/>
  <c r="X432" i="5"/>
  <c r="R620" i="5"/>
  <c r="J620" i="5"/>
  <c r="F620" i="5"/>
  <c r="AB307" i="5"/>
  <c r="R341" i="5"/>
  <c r="R397" i="5"/>
  <c r="X397" i="5"/>
  <c r="R42" i="5"/>
  <c r="X45" i="5"/>
  <c r="X55" i="5"/>
  <c r="AB118" i="5"/>
  <c r="AB130" i="5"/>
  <c r="X179" i="5"/>
  <c r="AB182" i="5"/>
  <c r="AB194" i="5"/>
  <c r="R235" i="5"/>
  <c r="X263" i="5"/>
  <c r="X299" i="5"/>
  <c r="AB315" i="5"/>
  <c r="R325" i="5"/>
  <c r="AB330" i="5"/>
  <c r="R348" i="5"/>
  <c r="R356" i="5"/>
  <c r="R380" i="5"/>
  <c r="AB395" i="5"/>
  <c r="X400" i="5"/>
  <c r="X409" i="5"/>
  <c r="X421" i="5"/>
  <c r="R445" i="5"/>
  <c r="R516" i="5"/>
  <c r="H516" i="5"/>
  <c r="R532" i="5"/>
  <c r="H532" i="5"/>
  <c r="R660" i="5"/>
  <c r="F660" i="5"/>
  <c r="AB867" i="5"/>
  <c r="J867" i="5"/>
  <c r="S1003" i="5"/>
  <c r="AB1003" i="5"/>
  <c r="X219" i="5"/>
  <c r="AB290" i="5"/>
  <c r="X349" i="5"/>
  <c r="X381" i="5"/>
  <c r="X408" i="5"/>
  <c r="X425" i="5"/>
  <c r="R58" i="5"/>
  <c r="X23" i="5"/>
  <c r="AB26" i="5"/>
  <c r="X39" i="5"/>
  <c r="AB22" i="5"/>
  <c r="R25" i="5"/>
  <c r="R47" i="5"/>
  <c r="R63" i="5"/>
  <c r="R79" i="5"/>
  <c r="AB108" i="5"/>
  <c r="X111" i="5"/>
  <c r="AB124" i="5"/>
  <c r="AB128" i="5"/>
  <c r="X137" i="5"/>
  <c r="AB146" i="5"/>
  <c r="R147" i="5"/>
  <c r="X166" i="5"/>
  <c r="X167" i="5"/>
  <c r="AB172" i="5"/>
  <c r="AB188" i="5"/>
  <c r="AB192" i="5"/>
  <c r="AB206" i="5"/>
  <c r="AB214" i="5"/>
  <c r="AB226" i="5"/>
  <c r="X231" i="5"/>
  <c r="X273" i="5"/>
  <c r="R285" i="5"/>
  <c r="R291" i="5"/>
  <c r="AB294" i="5"/>
  <c r="AB337" i="5"/>
  <c r="AB383" i="5"/>
  <c r="X412" i="5"/>
  <c r="R412" i="5"/>
  <c r="X416" i="5"/>
  <c r="X433" i="5"/>
  <c r="X445" i="5"/>
  <c r="R449" i="5"/>
  <c r="X449" i="5"/>
  <c r="AB471" i="5"/>
  <c r="AB477" i="5"/>
  <c r="AB529" i="5"/>
  <c r="R606" i="5"/>
  <c r="F606" i="5"/>
  <c r="J642" i="5"/>
  <c r="R642" i="5"/>
  <c r="F642" i="5"/>
  <c r="H844" i="5"/>
  <c r="J844" i="5"/>
  <c r="AB266" i="5"/>
  <c r="AB134" i="5"/>
  <c r="AB142" i="5"/>
  <c r="X145" i="5"/>
  <c r="X161" i="5"/>
  <c r="AB198" i="5"/>
  <c r="X255" i="5"/>
  <c r="X267" i="5"/>
  <c r="X283" i="5"/>
  <c r="AB306" i="5"/>
  <c r="AB323" i="5"/>
  <c r="AB349" i="5"/>
  <c r="AB381" i="5"/>
  <c r="X385" i="5"/>
  <c r="R429" i="5"/>
  <c r="X436" i="5"/>
  <c r="R436" i="5"/>
  <c r="X440" i="5"/>
  <c r="R456" i="5"/>
  <c r="R760" i="5"/>
  <c r="I760" i="5"/>
  <c r="F760" i="5"/>
  <c r="R317" i="5"/>
  <c r="X33" i="5"/>
  <c r="X49" i="5"/>
  <c r="X65" i="5"/>
  <c r="X81" i="5"/>
  <c r="AB138" i="5"/>
  <c r="AB154" i="5"/>
  <c r="AB158" i="5"/>
  <c r="AB202" i="5"/>
  <c r="AB223" i="5"/>
  <c r="AB238" i="5"/>
  <c r="X245" i="5"/>
  <c r="AB246" i="5"/>
  <c r="R257" i="5"/>
  <c r="AB259" i="5"/>
  <c r="AB274" i="5"/>
  <c r="X275" i="5"/>
  <c r="R275" i="5"/>
  <c r="R357" i="5"/>
  <c r="R364" i="5"/>
  <c r="R368" i="5"/>
  <c r="X396" i="5"/>
  <c r="R396" i="5"/>
  <c r="X417" i="5"/>
  <c r="X429" i="5"/>
  <c r="H511" i="5"/>
  <c r="H523" i="5"/>
  <c r="F523" i="5"/>
  <c r="R566" i="5"/>
  <c r="F566" i="5"/>
  <c r="J638" i="5"/>
  <c r="R638" i="5"/>
  <c r="F638" i="5"/>
  <c r="I726" i="5"/>
  <c r="F726" i="5"/>
  <c r="I742" i="5"/>
  <c r="F742" i="5"/>
  <c r="AB322" i="5"/>
  <c r="AB32" i="5"/>
  <c r="X53" i="5"/>
  <c r="X69" i="5"/>
  <c r="X85" i="5"/>
  <c r="X95" i="5"/>
  <c r="R101" i="5"/>
  <c r="R145" i="5"/>
  <c r="X147" i="5"/>
  <c r="AB162" i="5"/>
  <c r="R165" i="5"/>
  <c r="AB227" i="5"/>
  <c r="AB247" i="5"/>
  <c r="R269" i="5"/>
  <c r="AB314" i="5"/>
  <c r="R321" i="5"/>
  <c r="AB331" i="5"/>
  <c r="R377" i="5"/>
  <c r="X388" i="5"/>
  <c r="R388" i="5"/>
  <c r="X401" i="5"/>
  <c r="R413" i="5"/>
  <c r="X420" i="5"/>
  <c r="R420" i="5"/>
  <c r="X424" i="5"/>
  <c r="X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AB388" i="5"/>
  <c r="R392" i="5"/>
  <c r="R393" i="5"/>
  <c r="R407" i="5"/>
  <c r="AB417" i="5"/>
  <c r="AB425" i="5"/>
  <c r="AB433" i="5"/>
  <c r="AB441" i="5"/>
  <c r="AB449" i="5"/>
  <c r="X461"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X453" i="5"/>
  <c r="H512" i="5"/>
  <c r="R512" i="5"/>
  <c r="F512" i="5"/>
  <c r="R598" i="5"/>
  <c r="F598" i="5"/>
  <c r="R618" i="5"/>
  <c r="R691" i="5"/>
  <c r="H691" i="5"/>
  <c r="H814" i="5"/>
  <c r="J828" i="5"/>
  <c r="H828" i="5"/>
  <c r="F828" i="5"/>
  <c r="S884" i="5"/>
  <c r="AB971" i="5"/>
  <c r="S971" i="5"/>
  <c r="AB234" i="5"/>
  <c r="AB250" i="5"/>
  <c r="AB271" i="5"/>
  <c r="AB286" i="5"/>
  <c r="AB291" i="5"/>
  <c r="AB304"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AB309" i="5"/>
  <c r="AB317" i="5"/>
  <c r="AB325" i="5"/>
  <c r="AB335" i="5"/>
  <c r="X361" i="5"/>
  <c r="X393" i="5"/>
  <c r="AB413" i="5"/>
  <c r="AB421" i="5"/>
  <c r="AB429" i="5"/>
  <c r="AB437" i="5"/>
  <c r="AB445" i="5"/>
  <c r="X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X341" i="5"/>
  <c r="X304" i="5"/>
  <c r="AB23" i="5"/>
  <c r="X28" i="5"/>
  <c r="AB115" i="5"/>
  <c r="R146" i="5"/>
  <c r="AB179" i="5"/>
  <c r="AB201" i="5"/>
  <c r="R234" i="5"/>
  <c r="R254" i="5"/>
  <c r="X286" i="5"/>
  <c r="AB320" i="5"/>
  <c r="AB412" i="5"/>
  <c r="AB105" i="5"/>
  <c r="R114" i="5"/>
  <c r="AB137" i="5"/>
  <c r="AB147" i="5"/>
  <c r="AB169" i="5"/>
  <c r="AB240" i="5"/>
  <c r="R270" i="5"/>
  <c r="R311" i="5"/>
  <c r="R5" i="5"/>
  <c r="AB20" i="5"/>
  <c r="R21" i="5"/>
  <c r="AB28" i="5"/>
  <c r="R29" i="5"/>
  <c r="AB34" i="5"/>
  <c r="AB38" i="5"/>
  <c r="AB42" i="5"/>
  <c r="AB46" i="5"/>
  <c r="AB50" i="5"/>
  <c r="AB54" i="5"/>
  <c r="AB58" i="5"/>
  <c r="AB62" i="5"/>
  <c r="AB66" i="5"/>
  <c r="AB70" i="5"/>
  <c r="AB74" i="5"/>
  <c r="AB78" i="5"/>
  <c r="AB82" i="5"/>
  <c r="AB86" i="5"/>
  <c r="AB90" i="5"/>
  <c r="AB94" i="5"/>
  <c r="AB98" i="5"/>
  <c r="AB104" i="5"/>
  <c r="AB117" i="5"/>
  <c r="X125" i="5"/>
  <c r="AB127" i="5"/>
  <c r="AB136" i="5"/>
  <c r="AB149" i="5"/>
  <c r="X157" i="5"/>
  <c r="R158" i="5"/>
  <c r="AB159" i="5"/>
  <c r="AB168" i="5"/>
  <c r="AB181" i="5"/>
  <c r="R190" i="5"/>
  <c r="AB191" i="5"/>
  <c r="AB200" i="5"/>
  <c r="R218" i="5"/>
  <c r="AB220" i="5"/>
  <c r="R238" i="5"/>
  <c r="AB244" i="5"/>
  <c r="AB260" i="5"/>
  <c r="AB276" i="5"/>
  <c r="AB292" i="5"/>
  <c r="AB5" i="5"/>
  <c r="AB21" i="5"/>
  <c r="AB29" i="5"/>
  <c r="AB35" i="5"/>
  <c r="AB39" i="5"/>
  <c r="AB43" i="5"/>
  <c r="AB47" i="5"/>
  <c r="AB51" i="5"/>
  <c r="AB55" i="5"/>
  <c r="AB59" i="5"/>
  <c r="AB63" i="5"/>
  <c r="AB67" i="5"/>
  <c r="AB71" i="5"/>
  <c r="AB75" i="5"/>
  <c r="AB79" i="5"/>
  <c r="AB83" i="5"/>
  <c r="AB87" i="5"/>
  <c r="AB91" i="5"/>
  <c r="AB95" i="5"/>
  <c r="AB99" i="5"/>
  <c r="R106" i="5"/>
  <c r="AB107" i="5"/>
  <c r="AB116" i="5"/>
  <c r="AB129" i="5"/>
  <c r="R138" i="5"/>
  <c r="AB139" i="5"/>
  <c r="AB148" i="5"/>
  <c r="AB161" i="5"/>
  <c r="AB171" i="5"/>
  <c r="AB180" i="5"/>
  <c r="AB193" i="5"/>
  <c r="AB203" i="5"/>
  <c r="AB209" i="5"/>
  <c r="R210" i="5"/>
  <c r="R221" i="5"/>
  <c r="R242" i="5"/>
  <c r="X274" i="5"/>
  <c r="R274" i="5"/>
  <c r="R323" i="5"/>
  <c r="AB360" i="5"/>
  <c r="X371" i="5"/>
  <c r="R383" i="5"/>
  <c r="AB119" i="5"/>
  <c r="AB151" i="5"/>
  <c r="AB173" i="5"/>
  <c r="X181" i="5"/>
  <c r="R182" i="5"/>
  <c r="AB183" i="5"/>
  <c r="AB205" i="5"/>
  <c r="AB212" i="5"/>
  <c r="AB248" i="5"/>
  <c r="AB264" i="5"/>
  <c r="AB280" i="5"/>
  <c r="AB296" i="5"/>
  <c r="R319" i="5"/>
  <c r="AB328" i="5"/>
  <c r="X351" i="5"/>
  <c r="R351" i="5"/>
  <c r="AB358" i="5"/>
  <c r="X5" i="5"/>
  <c r="AB121" i="5"/>
  <c r="R130" i="5"/>
  <c r="AB131" i="5"/>
  <c r="AB153" i="5"/>
  <c r="R162" i="5"/>
  <c r="AB163" i="5"/>
  <c r="AB185" i="5"/>
  <c r="AB195" i="5"/>
  <c r="R206" i="5"/>
  <c r="X209" i="5"/>
  <c r="R213" i="5"/>
  <c r="R222" i="5"/>
  <c r="AB224" i="5"/>
  <c r="R278" i="5"/>
  <c r="X294" i="5"/>
  <c r="R294" i="5"/>
  <c r="R307" i="5"/>
  <c r="X307" i="5"/>
  <c r="AB408" i="5"/>
  <c r="AB109" i="5"/>
  <c r="X117" i="5"/>
  <c r="AB141" i="5"/>
  <c r="AB19" i="5"/>
  <c r="AB27" i="5"/>
  <c r="X29" i="5"/>
  <c r="X24" i="5"/>
  <c r="R28" i="5"/>
  <c r="X32" i="5"/>
  <c r="AB36" i="5"/>
  <c r="AB40" i="5"/>
  <c r="AB44" i="5"/>
  <c r="AB48" i="5"/>
  <c r="AB52" i="5"/>
  <c r="AB56" i="5"/>
  <c r="AB60" i="5"/>
  <c r="AB64" i="5"/>
  <c r="AB68" i="5"/>
  <c r="AB72" i="5"/>
  <c r="AB76" i="5"/>
  <c r="AB80" i="5"/>
  <c r="AB84" i="5"/>
  <c r="AB88" i="5"/>
  <c r="AB92" i="5"/>
  <c r="AB96" i="5"/>
  <c r="AB100" i="5"/>
  <c r="AB101" i="5"/>
  <c r="X109" i="5"/>
  <c r="R110" i="5"/>
  <c r="AB111" i="5"/>
  <c r="AB120" i="5"/>
  <c r="AB133" i="5"/>
  <c r="X141" i="5"/>
  <c r="R142" i="5"/>
  <c r="AB143" i="5"/>
  <c r="AB152" i="5"/>
  <c r="AB165" i="5"/>
  <c r="X173" i="5"/>
  <c r="R174" i="5"/>
  <c r="AB175" i="5"/>
  <c r="AB184" i="5"/>
  <c r="AB197" i="5"/>
  <c r="X205" i="5"/>
  <c r="AB208" i="5"/>
  <c r="AB228" i="5"/>
  <c r="AB252" i="5"/>
  <c r="AB268" i="5"/>
  <c r="AB284" i="5"/>
  <c r="AB300" i="5"/>
  <c r="AB303" i="5"/>
  <c r="AB312" i="5"/>
  <c r="X384" i="5"/>
  <c r="R384" i="5"/>
  <c r="AB402" i="5"/>
  <c r="AB31" i="5"/>
  <c r="AB25" i="5"/>
  <c r="AB37" i="5"/>
  <c r="AB45" i="5"/>
  <c r="AB53" i="5"/>
  <c r="AB57" i="5"/>
  <c r="AB61" i="5"/>
  <c r="AB65" i="5"/>
  <c r="AB69" i="5"/>
  <c r="AB73" i="5"/>
  <c r="AB81" i="5"/>
  <c r="AB89" i="5"/>
  <c r="AB113" i="5"/>
  <c r="R117" i="5"/>
  <c r="AB123" i="5"/>
  <c r="AB145" i="5"/>
  <c r="R149" i="5"/>
  <c r="X153" i="5"/>
  <c r="AB155" i="5"/>
  <c r="AB177" i="5"/>
  <c r="R181" i="5"/>
  <c r="X185" i="5"/>
  <c r="AB187" i="5"/>
  <c r="R214" i="5"/>
  <c r="AB216" i="5"/>
  <c r="R226" i="5"/>
  <c r="AB232" i="5"/>
  <c r="R250" i="5"/>
  <c r="R282" i="5"/>
  <c r="R298" i="5"/>
  <c r="R327" i="5"/>
  <c r="X352" i="5"/>
  <c r="R352" i="5"/>
  <c r="AB361" i="5"/>
  <c r="R470" i="5"/>
  <c r="I494" i="5"/>
  <c r="H494" i="5"/>
  <c r="R494" i="5"/>
  <c r="J494" i="5"/>
  <c r="F494" i="5"/>
  <c r="AB33" i="5"/>
  <c r="AB41" i="5"/>
  <c r="AB49" i="5"/>
  <c r="AB77" i="5"/>
  <c r="AB85" i="5"/>
  <c r="AB93" i="5"/>
  <c r="AB97" i="5"/>
  <c r="R122" i="5"/>
  <c r="R18" i="5"/>
  <c r="R23" i="5"/>
  <c r="R26" i="5"/>
  <c r="X30" i="5"/>
  <c r="R31" i="5"/>
  <c r="X36" i="5"/>
  <c r="X40" i="5"/>
  <c r="X52" i="5"/>
  <c r="X56" i="5"/>
  <c r="X60" i="5"/>
  <c r="X64" i="5"/>
  <c r="X68" i="5"/>
  <c r="X72" i="5"/>
  <c r="X80" i="5"/>
  <c r="X84" i="5"/>
  <c r="X88" i="5"/>
  <c r="X101" i="5"/>
  <c r="R102" i="5"/>
  <c r="AB103" i="5"/>
  <c r="AB112" i="5"/>
  <c r="AB125" i="5"/>
  <c r="R129" i="5"/>
  <c r="X133" i="5"/>
  <c r="AB135" i="5"/>
  <c r="AB144" i="5"/>
  <c r="AB157" i="5"/>
  <c r="R161" i="5"/>
  <c r="R166" i="5"/>
  <c r="AB167" i="5"/>
  <c r="AB176" i="5"/>
  <c r="AB189" i="5"/>
  <c r="R193" i="5"/>
  <c r="X197" i="5"/>
  <c r="R198" i="5"/>
  <c r="AB199" i="5"/>
  <c r="AB236" i="5"/>
  <c r="AB256" i="5"/>
  <c r="AB272" i="5"/>
  <c r="AB288" i="5"/>
  <c r="R315" i="5"/>
  <c r="R335" i="5"/>
  <c r="X332" i="5"/>
  <c r="AB336" i="5"/>
  <c r="X343" i="5"/>
  <c r="R343" i="5"/>
  <c r="X344" i="5"/>
  <c r="AB350" i="5"/>
  <c r="AB373" i="5"/>
  <c r="AB382" i="5"/>
  <c r="AB385" i="5"/>
  <c r="R471" i="5"/>
  <c r="X471" i="5"/>
  <c r="R499" i="5"/>
  <c r="J499" i="5"/>
  <c r="I499" i="5"/>
  <c r="H499" i="5"/>
  <c r="F499" i="5"/>
  <c r="R531" i="5"/>
  <c r="J531" i="5"/>
  <c r="I531" i="5"/>
  <c r="H531" i="5"/>
  <c r="F531"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R302" i="5"/>
  <c r="R304" i="5"/>
  <c r="AB310" i="5"/>
  <c r="AB318" i="5"/>
  <c r="AB326" i="5"/>
  <c r="AB332" i="5"/>
  <c r="AB343" i="5"/>
  <c r="AB353" i="5"/>
  <c r="AB362" i="5"/>
  <c r="AB375" i="5"/>
  <c r="AB389" i="5"/>
  <c r="X459" i="5"/>
  <c r="AB305" i="5"/>
  <c r="AB313" i="5"/>
  <c r="AB321" i="5"/>
  <c r="AB329" i="5"/>
  <c r="AB342" i="5"/>
  <c r="X368" i="5"/>
  <c r="AB374" i="5"/>
  <c r="AB386" i="5"/>
  <c r="AB393" i="5"/>
  <c r="X399" i="5"/>
  <c r="R399" i="5"/>
  <c r="X464" i="5"/>
  <c r="R464" i="5"/>
  <c r="X478" i="5"/>
  <c r="R478" i="5"/>
  <c r="AB333" i="5"/>
  <c r="AB345" i="5"/>
  <c r="X348" i="5"/>
  <c r="AB354" i="5"/>
  <c r="AB367" i="5"/>
  <c r="AB377" i="5"/>
  <c r="X379" i="5"/>
  <c r="X380" i="5"/>
  <c r="AB390" i="5"/>
  <c r="AB397" i="5"/>
  <c r="R483" i="5"/>
  <c r="I510" i="5"/>
  <c r="H510" i="5"/>
  <c r="R510" i="5"/>
  <c r="J510" i="5"/>
  <c r="F510" i="5"/>
  <c r="I542" i="5"/>
  <c r="H542" i="5"/>
  <c r="R542" i="5"/>
  <c r="J542" i="5"/>
  <c r="F542" i="5"/>
  <c r="AB338" i="5"/>
  <c r="AB366" i="5"/>
  <c r="AB394" i="5"/>
  <c r="AB401" i="5"/>
  <c r="AB416" i="5"/>
  <c r="R515" i="5"/>
  <c r="J515" i="5"/>
  <c r="I515" i="5"/>
  <c r="H515" i="5"/>
  <c r="F515" i="5"/>
  <c r="R310" i="5"/>
  <c r="R318" i="5"/>
  <c r="R326" i="5"/>
  <c r="AB334" i="5"/>
  <c r="AB339" i="5"/>
  <c r="AB346" i="5"/>
  <c r="AB359" i="5"/>
  <c r="AB369" i="5"/>
  <c r="X372" i="5"/>
  <c r="AB378" i="5"/>
  <c r="AB398" i="5"/>
  <c r="AB405" i="5"/>
  <c r="AB409" i="5"/>
  <c r="R344" i="5"/>
  <c r="AB351" i="5"/>
  <c r="AB352" i="5"/>
  <c r="X364" i="5"/>
  <c r="AB370" i="5"/>
  <c r="R387" i="5"/>
  <c r="AB406" i="5"/>
  <c r="I526" i="5"/>
  <c r="H526" i="5"/>
  <c r="R526" i="5"/>
  <c r="J526" i="5"/>
  <c r="F526" i="5"/>
  <c r="AB466" i="5"/>
  <c r="AB474" i="5"/>
  <c r="F492" i="5"/>
  <c r="F508" i="5"/>
  <c r="F540" i="5"/>
  <c r="R547" i="5"/>
  <c r="J547" i="5"/>
  <c r="AB553" i="5"/>
  <c r="AB572" i="5"/>
  <c r="AB582" i="5"/>
  <c r="AB585" i="5"/>
  <c r="AB596" i="5"/>
  <c r="AB597" i="5"/>
  <c r="H706" i="5"/>
  <c r="R706" i="5"/>
  <c r="J706" i="5"/>
  <c r="I706" i="5"/>
  <c r="F706" i="5"/>
  <c r="AB478" i="5"/>
  <c r="AB483" i="5"/>
  <c r="X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R479" i="5"/>
  <c r="H487" i="5"/>
  <c r="F488" i="5"/>
  <c r="R495" i="5"/>
  <c r="J495" i="5"/>
  <c r="H503" i="5"/>
  <c r="F504" i="5"/>
  <c r="R511" i="5"/>
  <c r="J511" i="5"/>
  <c r="H519" i="5"/>
  <c r="F520" i="5"/>
  <c r="R527" i="5"/>
  <c r="J527" i="5"/>
  <c r="H535" i="5"/>
  <c r="F536" i="5"/>
  <c r="R543" i="5"/>
  <c r="J543" i="5"/>
  <c r="H555" i="5"/>
  <c r="AB580" i="5"/>
  <c r="J586" i="5"/>
  <c r="I586" i="5"/>
  <c r="H586" i="5"/>
  <c r="R455" i="5"/>
  <c r="AB479" i="5"/>
  <c r="X480"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AB475" i="5"/>
  <c r="X476"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X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X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X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X1373"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X1061" i="5"/>
  <c r="R1062" i="5"/>
  <c r="J1062" i="5"/>
  <c r="I1062" i="5"/>
  <c r="J1077" i="5"/>
  <c r="I1077" i="5"/>
  <c r="H1077" i="5"/>
  <c r="R1078" i="5"/>
  <c r="J1078" i="5"/>
  <c r="I1078" i="5"/>
  <c r="J1093" i="5"/>
  <c r="I1093" i="5"/>
  <c r="H1093" i="5"/>
  <c r="R1094" i="5"/>
  <c r="J1094" i="5"/>
  <c r="I1094" i="5"/>
  <c r="J1109" i="5"/>
  <c r="I1109" i="5"/>
  <c r="H1109" i="5"/>
  <c r="R1110" i="5"/>
  <c r="J1125" i="5"/>
  <c r="I1125" i="5"/>
  <c r="H1125" i="5"/>
  <c r="X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X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X1293" i="5"/>
  <c r="R1293" i="5"/>
  <c r="R1301" i="5"/>
  <c r="R1305" i="5"/>
  <c r="R1309" i="5"/>
  <c r="X1321"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X1553" i="5"/>
  <c r="J1553" i="5"/>
  <c r="R1557" i="5"/>
  <c r="J1557" i="5"/>
  <c r="R1561" i="5"/>
  <c r="J1561" i="5"/>
  <c r="R1565" i="5"/>
  <c r="J1565" i="5"/>
  <c r="R1569" i="5"/>
  <c r="J1569" i="5"/>
  <c r="R1573" i="5"/>
  <c r="J1573" i="5"/>
  <c r="R1577" i="5"/>
  <c r="R1581" i="5"/>
  <c r="J1581" i="5"/>
  <c r="R1585" i="5"/>
  <c r="J1585" i="5"/>
  <c r="R1589" i="5"/>
  <c r="J1589" i="5"/>
  <c r="R1597" i="5"/>
  <c r="J1597" i="5"/>
  <c r="X1601" i="5"/>
  <c r="R1601" i="5"/>
  <c r="J1601" i="5"/>
  <c r="R1605" i="5"/>
  <c r="J1605" i="5"/>
  <c r="R1613" i="5"/>
  <c r="J1613" i="5"/>
  <c r="R1617" i="5"/>
  <c r="J1617" i="5"/>
  <c r="X1621"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F2442" i="5"/>
  <c r="J2442" i="5"/>
  <c r="I2442" i="5"/>
  <c r="H2442" i="5"/>
  <c r="AB2460" i="5"/>
  <c r="F2497" i="5"/>
  <c r="R2497" i="5"/>
  <c r="J2497" i="5"/>
  <c r="I2497" i="5"/>
  <c r="H2497" i="5"/>
  <c r="S2501" i="5"/>
  <c r="F64" i="6"/>
  <c r="G5" i="6"/>
  <c r="H5" i="6" s="1"/>
  <c r="D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AB2443" i="5"/>
  <c r="S2443" i="5"/>
  <c r="S2450" i="5"/>
  <c r="S2452" i="5"/>
  <c r="J2461" i="5"/>
  <c r="J2469" i="5"/>
  <c r="S2495" i="5"/>
  <c r="S2499" i="5"/>
  <c r="S2503" i="5"/>
  <c r="D9" i="6"/>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21" i="6"/>
  <c r="B51" i="6" s="1"/>
  <c r="G51" i="6" s="1"/>
  <c r="G16" i="6"/>
  <c r="H16" i="6"/>
  <c r="B19" i="6"/>
  <c r="F24" i="6" s="1"/>
  <c r="A38" i="2"/>
  <c r="J4" i="5"/>
  <c r="A55" i="2"/>
  <c r="A73" i="2"/>
  <c r="B9" i="3"/>
  <c r="A3" i="2"/>
  <c r="A20" i="2"/>
  <c r="B17" i="3"/>
  <c r="B29" i="4"/>
  <c r="B35" i="4" s="1"/>
  <c r="A22" i="6" s="1"/>
  <c r="B25" i="3"/>
  <c r="C20" i="3"/>
  <c r="A75" i="2"/>
  <c r="C25" i="3"/>
  <c r="N4" i="5"/>
  <c r="A43" i="2"/>
  <c r="C3" i="3"/>
  <c r="C19" i="3"/>
  <c r="P4" i="5"/>
  <c r="A45" i="2"/>
  <c r="C4" i="3"/>
  <c r="B26" i="4"/>
  <c r="B32" i="4" s="1"/>
  <c r="A19"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7" i="4" s="1"/>
  <c r="B44" i="4"/>
  <c r="A29" i="6" s="1"/>
  <c r="A4" i="5"/>
  <c r="I4" i="5"/>
  <c r="I14" i="6"/>
  <c r="C14" i="6" s="1"/>
  <c r="I15" i="6"/>
  <c r="I16" i="6"/>
  <c r="C16" i="6" s="1"/>
  <c r="I17" i="6"/>
  <c r="J24" i="6"/>
  <c r="I25" i="6"/>
  <c r="J36" i="6"/>
  <c r="I37" i="6"/>
  <c r="J44" i="6"/>
  <c r="I45" i="6"/>
  <c r="J52" i="6"/>
  <c r="J62" i="6"/>
  <c r="I63" i="6"/>
  <c r="I64" i="6"/>
  <c r="J65" i="6"/>
  <c r="I66" i="6"/>
  <c r="B60" i="1"/>
  <c r="F4" i="8"/>
  <c r="H4" i="8"/>
  <c r="I4" i="8"/>
  <c r="C4" i="8"/>
  <c r="S491" i="5"/>
  <c r="S511" i="5"/>
  <c r="S548" i="5"/>
  <c r="S539" i="5"/>
  <c r="S560" i="5"/>
  <c r="S510" i="5"/>
  <c r="S457" i="5"/>
  <c r="S572" i="5"/>
  <c r="S568" i="5"/>
  <c r="S468" i="5"/>
  <c r="S543" i="5"/>
  <c r="S464" i="5"/>
  <c r="S552" i="5"/>
  <c r="S586" i="5"/>
  <c r="S479" i="5"/>
  <c r="S584" i="5"/>
  <c r="S393" i="5"/>
  <c r="S470" i="5"/>
  <c r="S461" i="5"/>
  <c r="S494" i="5"/>
  <c r="R2165" i="5"/>
  <c r="I1967" i="5"/>
  <c r="J2069" i="5"/>
  <c r="I2069" i="5"/>
  <c r="J1967" i="5"/>
  <c r="I987" i="5"/>
  <c r="H650" i="5"/>
  <c r="R2044" i="5"/>
  <c r="R1967" i="5"/>
  <c r="H987" i="5"/>
  <c r="H1959" i="5"/>
  <c r="R987" i="5"/>
  <c r="R2069" i="5"/>
  <c r="I1959" i="5"/>
  <c r="H2069" i="5"/>
  <c r="J1959" i="5"/>
  <c r="R1959" i="5"/>
  <c r="I678" i="5"/>
  <c r="H678" i="5"/>
  <c r="J987" i="5"/>
  <c r="S606" i="5"/>
  <c r="S610" i="5"/>
  <c r="X363" i="5"/>
  <c r="X322" i="5"/>
  <c r="X347" i="5"/>
  <c r="X186" i="5"/>
  <c r="X226" i="5"/>
  <c r="X456" i="5"/>
  <c r="S598" i="5"/>
  <c r="X376" i="5"/>
  <c r="X221" i="5"/>
  <c r="X165" i="5"/>
  <c r="X37" i="5"/>
  <c r="X338" i="5"/>
  <c r="X121" i="5"/>
  <c r="X323" i="5"/>
  <c r="X360" i="5"/>
  <c r="X483" i="5"/>
  <c r="X326" i="5"/>
  <c r="X146" i="5"/>
  <c r="X230" i="5"/>
  <c r="X21" i="5"/>
  <c r="X149" i="5"/>
  <c r="X387" i="5"/>
  <c r="X122" i="5"/>
  <c r="S532" i="5"/>
  <c r="X336" i="5"/>
  <c r="X356" i="5"/>
  <c r="X154" i="5"/>
  <c r="X214" i="5"/>
  <c r="X20" i="5"/>
  <c r="X233" i="5"/>
  <c r="X70" i="5"/>
  <c r="X329" i="5"/>
  <c r="X98" i="5"/>
  <c r="X241" i="5"/>
  <c r="X301" i="5"/>
  <c r="X198" i="5"/>
  <c r="X234" i="5"/>
  <c r="X174" i="5"/>
  <c r="X353" i="5"/>
  <c r="X34" i="5"/>
  <c r="X158" i="5"/>
  <c r="X331" i="5"/>
  <c r="X114" i="5"/>
  <c r="X333" i="5"/>
  <c r="X82" i="5"/>
  <c r="X451" i="5"/>
  <c r="X335" i="5"/>
  <c r="X282" i="5"/>
  <c r="X162" i="5"/>
  <c r="X325" i="5"/>
  <c r="X38" i="5"/>
  <c r="X138" i="5"/>
  <c r="X126" i="5"/>
  <c r="X217" i="5"/>
  <c r="X182" i="5"/>
  <c r="X218" i="5"/>
  <c r="X86" i="5"/>
  <c r="X202" i="5"/>
  <c r="X369" i="5"/>
  <c r="X46" i="5"/>
  <c r="X315" i="5"/>
  <c r="X96" i="5"/>
  <c r="X48" i="5"/>
  <c r="X22" i="5"/>
  <c r="X327" i="5"/>
  <c r="X311" i="5"/>
  <c r="X253" i="5"/>
  <c r="X50" i="5"/>
  <c r="X317" i="5"/>
  <c r="X66" i="5"/>
  <c r="X373" i="5"/>
  <c r="X357" i="5"/>
  <c r="X130" i="5"/>
  <c r="X383" i="5"/>
  <c r="X313" i="5"/>
  <c r="X92" i="5"/>
  <c r="X76" i="5"/>
  <c r="X44" i="5"/>
  <c r="X319" i="5"/>
  <c r="X242" i="5"/>
  <c r="X345" i="5"/>
  <c r="X285" i="5"/>
  <c r="X321" i="5"/>
  <c r="X249" i="5"/>
  <c r="X309" i="5"/>
  <c r="J1919" i="5"/>
  <c r="R983" i="5"/>
  <c r="R872" i="5"/>
  <c r="I851" i="5"/>
  <c r="F1735" i="5"/>
  <c r="I1859" i="5"/>
  <c r="F1577" i="5"/>
  <c r="H1339" i="5"/>
  <c r="I1224" i="5"/>
  <c r="J775" i="5"/>
  <c r="F678" i="5"/>
  <c r="I1735" i="5"/>
  <c r="J2284" i="5"/>
  <c r="J1339" i="5"/>
  <c r="F967" i="5"/>
  <c r="J678" i="5"/>
  <c r="F2189" i="5"/>
  <c r="J1735" i="5"/>
  <c r="R1339" i="5"/>
  <c r="I967" i="5"/>
  <c r="I829" i="5"/>
  <c r="H752" i="5"/>
  <c r="H578" i="5"/>
  <c r="I1665" i="5"/>
  <c r="H1577" i="5"/>
  <c r="R967" i="5"/>
  <c r="R829" i="5"/>
  <c r="J752" i="5"/>
  <c r="I578"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F2301" i="5"/>
  <c r="R1593" i="5"/>
  <c r="J1385" i="5"/>
  <c r="R2301" i="5"/>
  <c r="R1051" i="5"/>
  <c r="R1015" i="5"/>
  <c r="I1039" i="5"/>
  <c r="F1320" i="5"/>
  <c r="R852" i="5"/>
  <c r="F1947" i="5"/>
  <c r="H1947" i="5"/>
  <c r="I1381" i="5"/>
  <c r="I1947" i="5"/>
  <c r="R1665" i="5"/>
  <c r="J1947" i="5"/>
  <c r="J1438" i="5"/>
  <c r="F1158" i="5"/>
  <c r="R1947" i="5"/>
  <c r="J1665" i="5"/>
  <c r="J1426" i="5"/>
  <c r="R262" i="5"/>
  <c r="I2363" i="5"/>
  <c r="I872" i="5"/>
  <c r="R574" i="5"/>
  <c r="I2480" i="5"/>
  <c r="R1325" i="5"/>
  <c r="H1158" i="5"/>
  <c r="F872" i="5"/>
  <c r="R746" i="5"/>
  <c r="F767" i="5"/>
  <c r="H746" i="5"/>
  <c r="H2325" i="5"/>
  <c r="R1329" i="5"/>
  <c r="H562" i="5"/>
  <c r="R1204" i="5"/>
  <c r="H574" i="5"/>
  <c r="I562" i="5"/>
  <c r="F1665" i="5"/>
  <c r="J1204" i="5"/>
  <c r="I574" i="5"/>
  <c r="J562" i="5"/>
  <c r="J872" i="5"/>
  <c r="F562" i="5"/>
  <c r="H1665" i="5"/>
  <c r="J574" i="5"/>
  <c r="R2363" i="5"/>
  <c r="R2317" i="5"/>
  <c r="R2157" i="5"/>
  <c r="H1786" i="5"/>
  <c r="R799" i="5"/>
  <c r="H576" i="5"/>
  <c r="R2397" i="5"/>
  <c r="J2363" i="5"/>
  <c r="X2157" i="5"/>
  <c r="F696" i="5"/>
  <c r="I644" i="5"/>
  <c r="H2397" i="5"/>
  <c r="J1233" i="5"/>
  <c r="F717" i="5"/>
  <c r="R775" i="5"/>
  <c r="R403" i="5"/>
  <c r="H2317" i="5"/>
  <c r="F799" i="5"/>
  <c r="F775" i="5"/>
  <c r="F2363" i="5"/>
  <c r="H799" i="5"/>
  <c r="H775" i="5"/>
  <c r="H2363" i="5"/>
  <c r="I2317" i="5"/>
  <c r="F1786" i="5"/>
  <c r="F942" i="5"/>
  <c r="I799" i="5"/>
  <c r="I775" i="5"/>
  <c r="J2016" i="5"/>
  <c r="J1724" i="5"/>
  <c r="H1434" i="5"/>
  <c r="I1308" i="5"/>
  <c r="F1272" i="5"/>
  <c r="J602" i="5"/>
  <c r="J2077" i="5"/>
  <c r="I2077" i="5"/>
  <c r="J1673" i="5"/>
  <c r="R1403" i="5"/>
  <c r="R1308" i="5"/>
  <c r="H602" i="5"/>
  <c r="X2257" i="5"/>
  <c r="I1770" i="5"/>
  <c r="R1633" i="5"/>
  <c r="I1272" i="5"/>
  <c r="R891" i="5"/>
  <c r="R2077" i="5"/>
  <c r="J1770" i="5"/>
  <c r="R1673" i="5"/>
  <c r="J1434" i="5"/>
  <c r="J1272" i="5"/>
  <c r="R2257" i="5"/>
  <c r="F1526" i="5"/>
  <c r="R1123" i="5"/>
  <c r="R1272" i="5"/>
  <c r="I602" i="5"/>
  <c r="F1673" i="5"/>
  <c r="J2318" i="5"/>
  <c r="H1464" i="5"/>
  <c r="I1526" i="5"/>
  <c r="H1673" i="5"/>
  <c r="R2318" i="5"/>
  <c r="H2043" i="5"/>
  <c r="J1633" i="5"/>
  <c r="X1673" i="5"/>
  <c r="F1051" i="5"/>
  <c r="F672" i="5"/>
  <c r="R115" i="5"/>
  <c r="R1724" i="5"/>
  <c r="F1680" i="5"/>
  <c r="H1672" i="5"/>
  <c r="X1325"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2293" i="5"/>
  <c r="R1693" i="5"/>
  <c r="H1724" i="5"/>
  <c r="R1680" i="5"/>
  <c r="H1224" i="5"/>
  <c r="I696" i="5"/>
  <c r="H696" i="5"/>
  <c r="H2289" i="5"/>
  <c r="I1724" i="5"/>
  <c r="H1325" i="5"/>
  <c r="R1224" i="5"/>
  <c r="I648" i="5"/>
  <c r="J2480" i="5"/>
  <c r="J2232" i="5"/>
  <c r="J1641" i="5"/>
  <c r="I1508" i="5"/>
  <c r="X1297" i="5"/>
  <c r="H1222" i="5"/>
  <c r="I1110" i="5"/>
  <c r="I1140" i="5"/>
  <c r="I1233" i="5"/>
  <c r="H2480" i="5"/>
  <c r="H1859" i="5"/>
  <c r="I1754" i="5"/>
  <c r="R1641" i="5"/>
  <c r="J1110" i="5"/>
  <c r="I632" i="5"/>
  <c r="R1233" i="5"/>
  <c r="R2480" i="5"/>
  <c r="R2310" i="5"/>
  <c r="J1859" i="5"/>
  <c r="R1644" i="5"/>
  <c r="R1253" i="5"/>
  <c r="H1253" i="5"/>
  <c r="H1233" i="5"/>
  <c r="I596" i="5"/>
  <c r="R447" i="5"/>
  <c r="F2092" i="5"/>
  <c r="R1859" i="5"/>
  <c r="F1859" i="5"/>
  <c r="R1086" i="5"/>
  <c r="I836" i="5"/>
  <c r="H596" i="5"/>
  <c r="R415" i="5"/>
  <c r="F2480" i="5"/>
  <c r="J2164" i="5"/>
  <c r="R1653" i="5"/>
  <c r="J1653" i="5"/>
  <c r="F1508" i="5"/>
  <c r="F1222" i="5"/>
  <c r="H1297" i="5"/>
  <c r="F836" i="5"/>
  <c r="R836" i="5"/>
  <c r="I496" i="5"/>
  <c r="F1233" i="5"/>
  <c r="J1725" i="5"/>
  <c r="H1716" i="5"/>
  <c r="F1403" i="5"/>
  <c r="X1381" i="5"/>
  <c r="I1095" i="5"/>
  <c r="R808" i="5"/>
  <c r="J2133" i="5"/>
  <c r="J2161" i="5"/>
  <c r="I1716" i="5"/>
  <c r="H1426" i="5"/>
  <c r="H1329" i="5"/>
  <c r="I608" i="5"/>
  <c r="F808" i="5"/>
  <c r="R2133" i="5"/>
  <c r="R2161" i="5"/>
  <c r="F1919" i="5"/>
  <c r="J1716" i="5"/>
  <c r="R1067" i="5"/>
  <c r="J1145" i="5"/>
  <c r="H883" i="5"/>
  <c r="I808" i="5"/>
  <c r="H1900" i="5"/>
  <c r="I1919" i="5"/>
  <c r="R1716" i="5"/>
  <c r="H1684" i="5"/>
  <c r="R1285" i="5"/>
  <c r="F1308" i="5"/>
  <c r="F883" i="5"/>
  <c r="I1403" i="5"/>
  <c r="H1919" i="5"/>
  <c r="I1684" i="5"/>
  <c r="X1285" i="5"/>
  <c r="I1123" i="5"/>
  <c r="I1067" i="5"/>
  <c r="I883" i="5"/>
  <c r="R883" i="5"/>
  <c r="F1900" i="5"/>
  <c r="R1919" i="5"/>
  <c r="R1725" i="5"/>
  <c r="R1684" i="5"/>
  <c r="J1308" i="5"/>
  <c r="J2181" i="5"/>
  <c r="H2164" i="5"/>
  <c r="R2184" i="5"/>
  <c r="J1668" i="5"/>
  <c r="R1660" i="5"/>
  <c r="H1652" i="5"/>
  <c r="I1644" i="5"/>
  <c r="H942" i="5"/>
  <c r="I720" i="5"/>
  <c r="R2181" i="5"/>
  <c r="I2164" i="5"/>
  <c r="R1668" i="5"/>
  <c r="F1708" i="5"/>
  <c r="I1652" i="5"/>
  <c r="J1644"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2116" i="5"/>
  <c r="I1855" i="5"/>
  <c r="H1774" i="5"/>
  <c r="H1811" i="5"/>
  <c r="R979" i="5"/>
  <c r="F852" i="5"/>
  <c r="F817" i="5"/>
  <c r="I580" i="5"/>
  <c r="R2116" i="5"/>
  <c r="H1855" i="5"/>
  <c r="I1811" i="5"/>
  <c r="F1774" i="5"/>
  <c r="J869" i="5"/>
  <c r="R580" i="5"/>
  <c r="F1842" i="5"/>
  <c r="J1855" i="5"/>
  <c r="J1811" i="5"/>
  <c r="H1140" i="5"/>
  <c r="R1292" i="5"/>
  <c r="I888" i="5"/>
  <c r="F738" i="5"/>
  <c r="H580" i="5"/>
  <c r="H1086" i="5"/>
  <c r="R869" i="5"/>
  <c r="J592" i="5"/>
  <c r="I2417" i="5"/>
  <c r="H1842" i="5"/>
  <c r="R1855" i="5"/>
  <c r="H1317" i="5"/>
  <c r="I979" i="5"/>
  <c r="F888" i="5"/>
  <c r="R730" i="5"/>
  <c r="F524" i="5"/>
  <c r="F1140" i="5"/>
  <c r="J580" i="5"/>
  <c r="I1842" i="5"/>
  <c r="R1811" i="5"/>
  <c r="F1471" i="5"/>
  <c r="R1317" i="5"/>
  <c r="I1086" i="5"/>
  <c r="I869" i="5"/>
  <c r="H730" i="5"/>
  <c r="H592" i="5"/>
  <c r="I730" i="5"/>
  <c r="R87" i="5"/>
  <c r="J1842" i="5"/>
  <c r="H1696" i="5"/>
  <c r="X1317" i="5"/>
  <c r="J1086" i="5"/>
  <c r="I524" i="5"/>
  <c r="R439" i="5"/>
  <c r="B41" i="6"/>
  <c r="G41" i="6" s="1"/>
  <c r="B31" i="6"/>
  <c r="G31" i="6" s="1"/>
  <c r="J2417" i="5"/>
  <c r="J2160" i="5"/>
  <c r="F1876" i="5"/>
  <c r="R1770" i="5"/>
  <c r="R1700" i="5"/>
  <c r="I1696" i="5"/>
  <c r="I1672" i="5"/>
  <c r="F1126" i="5"/>
  <c r="F875" i="5"/>
  <c r="R888" i="5"/>
  <c r="F783" i="5"/>
  <c r="R757" i="5"/>
  <c r="I588" i="5"/>
  <c r="R431" i="5"/>
  <c r="X2325" i="5"/>
  <c r="H2012" i="5"/>
  <c r="F640" i="5"/>
  <c r="F2197" i="5"/>
  <c r="R2417" i="5"/>
  <c r="H2409" i="5"/>
  <c r="H2011" i="5"/>
  <c r="J1876" i="5"/>
  <c r="J1669" i="5"/>
  <c r="J1696" i="5"/>
  <c r="F1700" i="5"/>
  <c r="F1712" i="5"/>
  <c r="J1672" i="5"/>
  <c r="R1003" i="5"/>
  <c r="I974" i="5"/>
  <c r="H1138" i="5"/>
  <c r="H875" i="5"/>
  <c r="H783" i="5"/>
  <c r="I757" i="5"/>
  <c r="I640" i="5"/>
  <c r="H644" i="5"/>
  <c r="J2397" i="5"/>
  <c r="I2012" i="5"/>
  <c r="J640" i="5"/>
  <c r="I2197" i="5"/>
  <c r="X2417" i="5"/>
  <c r="I2409" i="5"/>
  <c r="F2325" i="5"/>
  <c r="I2011" i="5"/>
  <c r="J1936" i="5"/>
  <c r="F1770" i="5"/>
  <c r="R1696" i="5"/>
  <c r="H1664" i="5"/>
  <c r="I1494" i="5"/>
  <c r="R1672" i="5"/>
  <c r="F1352" i="5"/>
  <c r="F1292" i="5"/>
  <c r="J974" i="5"/>
  <c r="J875" i="5"/>
  <c r="I783" i="5"/>
  <c r="I749" i="5"/>
  <c r="J757" i="5"/>
  <c r="I556" i="5"/>
  <c r="R215" i="5"/>
  <c r="J2409" i="5"/>
  <c r="H2301" i="5"/>
  <c r="H2100" i="5"/>
  <c r="J2011" i="5"/>
  <c r="R1936" i="5"/>
  <c r="H1801" i="5"/>
  <c r="H1867" i="5"/>
  <c r="I1664" i="5"/>
  <c r="H1712" i="5"/>
  <c r="F1494" i="5"/>
  <c r="J1494" i="5"/>
  <c r="I1003" i="5"/>
  <c r="H1352" i="5"/>
  <c r="R974" i="5"/>
  <c r="I1074" i="5"/>
  <c r="I875" i="5"/>
  <c r="J783" i="5"/>
  <c r="J749" i="5"/>
  <c r="X757" i="5"/>
  <c r="R334" i="5"/>
  <c r="X2301" i="5"/>
  <c r="I1801" i="5"/>
  <c r="J1664" i="5"/>
  <c r="I1712" i="5"/>
  <c r="J1352" i="5"/>
  <c r="I1292" i="5"/>
  <c r="R875" i="5"/>
  <c r="R738" i="5"/>
  <c r="X749" i="5"/>
  <c r="I717" i="5"/>
  <c r="R718" i="5"/>
  <c r="F757" i="5"/>
  <c r="R207" i="5"/>
  <c r="F1190" i="5"/>
  <c r="I983" i="5"/>
  <c r="J1292" i="5"/>
  <c r="F749" i="5"/>
  <c r="J717" i="5"/>
  <c r="H640" i="5"/>
  <c r="H588"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X1145" i="5"/>
  <c r="R1074" i="5"/>
  <c r="F814" i="5"/>
  <c r="J814" i="5"/>
  <c r="J1527" i="5"/>
  <c r="I1527" i="5"/>
  <c r="H1527" i="5"/>
  <c r="F592" i="5"/>
  <c r="R592" i="5"/>
  <c r="I2386" i="5"/>
  <c r="H2405" i="5"/>
  <c r="H2180" i="5"/>
  <c r="R2100" i="5"/>
  <c r="R1940" i="5"/>
  <c r="R1867" i="5"/>
  <c r="J1193" i="5"/>
  <c r="F1145" i="5"/>
  <c r="F867" i="5"/>
  <c r="H1940" i="5"/>
  <c r="J2405" i="5"/>
  <c r="I2180" i="5"/>
  <c r="I1786" i="5"/>
  <c r="J1471" i="5"/>
  <c r="I1131" i="5"/>
  <c r="I1115" i="5"/>
  <c r="I1304" i="5"/>
  <c r="R1145" i="5"/>
  <c r="H634" i="5"/>
  <c r="R423" i="5"/>
  <c r="I2289" i="5"/>
  <c r="J1435" i="5"/>
  <c r="I1435" i="5"/>
  <c r="H1435" i="5"/>
  <c r="R2405" i="5"/>
  <c r="H2386" i="5"/>
  <c r="J2180" i="5"/>
  <c r="J1952" i="5"/>
  <c r="J1786" i="5"/>
  <c r="J1304" i="5"/>
  <c r="R303" i="5"/>
  <c r="R71" i="5"/>
  <c r="F2381" i="5"/>
  <c r="X2405" i="5"/>
  <c r="J2386" i="5"/>
  <c r="R2180" i="5"/>
  <c r="H2160" i="5"/>
  <c r="F2100" i="5"/>
  <c r="R1952" i="5"/>
  <c r="H2035" i="5"/>
  <c r="F1867" i="5"/>
  <c r="R1786" i="5"/>
  <c r="R1131" i="5"/>
  <c r="R1304" i="5"/>
  <c r="I971" i="5"/>
  <c r="F1074" i="5"/>
  <c r="F971" i="5"/>
  <c r="I817" i="5"/>
  <c r="R2386" i="5"/>
  <c r="I2160" i="5"/>
  <c r="I2035" i="5"/>
  <c r="I1471" i="5"/>
  <c r="R1471" i="5"/>
  <c r="R971" i="5"/>
  <c r="H1145" i="5"/>
  <c r="H971" i="5"/>
  <c r="J817" i="5"/>
  <c r="R817" i="5"/>
  <c r="R1055" i="5"/>
  <c r="I891" i="5"/>
  <c r="H867" i="5"/>
  <c r="R712" i="5"/>
  <c r="R608" i="5"/>
  <c r="J712" i="5"/>
  <c r="J2465" i="5"/>
  <c r="F1696" i="5"/>
  <c r="I2205" i="5"/>
  <c r="R2205" i="5"/>
  <c r="J2205" i="5"/>
  <c r="H2205" i="5"/>
  <c r="F2205" i="5"/>
  <c r="R640" i="5"/>
  <c r="J1067" i="5"/>
  <c r="H1067" i="5"/>
  <c r="R672" i="5"/>
  <c r="R175" i="5"/>
  <c r="H808" i="5"/>
  <c r="J808" i="5"/>
  <c r="F644" i="5"/>
  <c r="I2265" i="5"/>
  <c r="R2265" i="5"/>
  <c r="J2265" i="5"/>
  <c r="F608" i="5"/>
  <c r="J1138" i="5"/>
  <c r="I867" i="5"/>
  <c r="R915" i="5"/>
  <c r="R710" i="5"/>
  <c r="H664" i="5"/>
  <c r="H608" i="5"/>
  <c r="I2215" i="5"/>
  <c r="J2215" i="5"/>
  <c r="J1198" i="5"/>
  <c r="R1198" i="5"/>
  <c r="I1198" i="5"/>
  <c r="H1198" i="5"/>
  <c r="F987" i="5"/>
  <c r="H851" i="5"/>
  <c r="F851" i="5"/>
  <c r="R1107" i="5"/>
  <c r="F931" i="5"/>
  <c r="I931" i="5"/>
  <c r="I1138" i="5"/>
  <c r="R867" i="5"/>
  <c r="I712" i="5"/>
  <c r="H710" i="5"/>
  <c r="H1526" i="5"/>
  <c r="R1526" i="5"/>
  <c r="F580" i="5"/>
  <c r="H836" i="5"/>
  <c r="J836" i="5"/>
  <c r="R1158" i="5"/>
  <c r="J1158" i="5"/>
  <c r="I1158" i="5"/>
  <c r="R931" i="5"/>
  <c r="R1138" i="5"/>
  <c r="I679" i="5"/>
  <c r="F2265" i="5"/>
  <c r="I2199" i="5"/>
  <c r="R2199" i="5"/>
  <c r="J2199" i="5"/>
  <c r="H1051" i="5"/>
  <c r="R578" i="5"/>
  <c r="F578" i="5"/>
  <c r="R306" i="5"/>
  <c r="R243" i="5"/>
  <c r="J1761" i="5"/>
  <c r="I1510" i="5"/>
  <c r="F1138" i="5"/>
  <c r="F891" i="5"/>
  <c r="H2265" i="5"/>
  <c r="F974" i="5"/>
  <c r="I2397" i="5"/>
  <c r="F2397" i="5"/>
  <c r="I2253" i="5"/>
  <c r="R2253" i="5"/>
  <c r="J2253" i="5"/>
  <c r="H2253" i="5"/>
  <c r="I2257" i="5"/>
  <c r="J2257" i="5"/>
  <c r="J1403" i="5"/>
  <c r="H1403" i="5"/>
  <c r="R191" i="5"/>
  <c r="R103" i="5"/>
  <c r="R314" i="5"/>
  <c r="R330" i="5"/>
  <c r="J1510" i="5"/>
  <c r="H891" i="5"/>
  <c r="H915" i="5"/>
  <c r="J608" i="5"/>
  <c r="I2189" i="5"/>
  <c r="H2189" i="5"/>
  <c r="I1851" i="5"/>
  <c r="F1851" i="5"/>
  <c r="I1633" i="5"/>
  <c r="F1633" i="5"/>
  <c r="R239" i="5"/>
  <c r="F915" i="5"/>
  <c r="H712" i="5"/>
  <c r="I2213" i="5"/>
  <c r="R2213" i="5"/>
  <c r="J2213" i="5"/>
  <c r="H2213" i="5"/>
  <c r="F2213" i="5"/>
  <c r="J2381" i="5"/>
  <c r="I2381" i="5"/>
  <c r="J1309" i="5"/>
  <c r="I1309" i="5"/>
  <c r="J1325" i="5"/>
  <c r="F1325" i="5"/>
  <c r="R43" i="5"/>
  <c r="R91" i="5"/>
  <c r="I2334" i="5"/>
  <c r="J2334" i="5"/>
  <c r="H2334" i="5"/>
  <c r="F2334" i="5"/>
  <c r="I2161" i="5"/>
  <c r="H2161" i="5"/>
  <c r="F2161" i="5"/>
  <c r="R1876" i="5"/>
  <c r="I1876" i="5"/>
  <c r="H1936" i="5"/>
  <c r="I1936" i="5"/>
  <c r="X1697"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R163"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R297"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R365" i="5"/>
  <c r="R279" i="5"/>
  <c r="R717" i="5"/>
  <c r="H717" i="5"/>
  <c r="R251" i="5"/>
  <c r="R293"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752" i="5"/>
  <c r="F752" i="5"/>
  <c r="R602" i="5"/>
  <c r="F602" i="5"/>
  <c r="R261" i="5"/>
  <c r="R277" i="5"/>
  <c r="R600" i="5"/>
  <c r="J600" i="5"/>
  <c r="F600" i="5"/>
  <c r="R151" i="5"/>
  <c r="I2157" i="5"/>
  <c r="H2157" i="5"/>
  <c r="J2301" i="5"/>
  <c r="R2233" i="5"/>
  <c r="J2233" i="5"/>
  <c r="H2233" i="5"/>
  <c r="F2233" i="5"/>
  <c r="X1641" i="5"/>
  <c r="F1641" i="5"/>
  <c r="I1641" i="5"/>
  <c r="H1641" i="5"/>
  <c r="J1754" i="5"/>
  <c r="H1754" i="5"/>
  <c r="R1510" i="5"/>
  <c r="H1510" i="5"/>
  <c r="F1510" i="5"/>
  <c r="J1079" i="5"/>
  <c r="H1079" i="5"/>
  <c r="F1079" i="5"/>
  <c r="J1107" i="5"/>
  <c r="H1107" i="5"/>
  <c r="F1107" i="5"/>
  <c r="I662" i="5"/>
  <c r="F662" i="5"/>
  <c r="R662" i="5"/>
  <c r="J662" i="5"/>
  <c r="J634" i="5"/>
  <c r="R634" i="5"/>
  <c r="F634" i="5"/>
  <c r="R664" i="5"/>
  <c r="I664" i="5"/>
  <c r="F664" i="5"/>
  <c r="R287" i="5"/>
  <c r="R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R472" i="5"/>
  <c r="R305"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2326" i="5"/>
  <c r="F2326" i="5"/>
  <c r="H2326" i="5"/>
  <c r="J2326" i="5"/>
  <c r="J2310" i="5"/>
  <c r="I2310" i="5"/>
  <c r="R2154" i="5"/>
  <c r="J2154" i="5"/>
  <c r="I2154" i="5"/>
  <c r="H2154" i="5"/>
  <c r="R1900" i="5"/>
  <c r="I1900"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F26" i="6"/>
  <c r="X18" i="5"/>
  <c r="X6" i="5"/>
  <c r="G19" i="6"/>
  <c r="H19" i="6" s="1"/>
  <c r="F2426" i="5"/>
  <c r="R2426" i="5"/>
  <c r="J2426" i="5"/>
  <c r="I2426" i="5"/>
  <c r="H2426" i="5"/>
  <c r="F2446" i="5"/>
  <c r="H2446" i="5"/>
  <c r="J2446" i="5"/>
  <c r="I2446" i="5"/>
  <c r="R2446" i="5"/>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X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X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F521" i="5"/>
  <c r="R521" i="5"/>
  <c r="J521" i="5"/>
  <c r="I521" i="5"/>
  <c r="H521" i="5"/>
  <c r="R469" i="5"/>
  <c r="F541" i="5"/>
  <c r="R541" i="5"/>
  <c r="J541" i="5"/>
  <c r="I541" i="5"/>
  <c r="H541" i="5"/>
  <c r="F509" i="5"/>
  <c r="R509" i="5"/>
  <c r="J509" i="5"/>
  <c r="I509" i="5"/>
  <c r="H509" i="5"/>
  <c r="R466" i="5"/>
  <c r="R378" i="5"/>
  <c r="R340" i="5"/>
  <c r="R394" i="5"/>
  <c r="R374" i="5"/>
  <c r="R355" i="5"/>
  <c r="R324" i="5"/>
  <c r="R300" i="5"/>
  <c r="R292" i="5"/>
  <c r="R284" i="5"/>
  <c r="R276" i="5"/>
  <c r="R268" i="5"/>
  <c r="R260" i="5"/>
  <c r="R252" i="5"/>
  <c r="R244" i="5"/>
  <c r="R236" i="5"/>
  <c r="R228" i="5"/>
  <c r="R132" i="5"/>
  <c r="R402" i="5"/>
  <c r="R204" i="5"/>
  <c r="R116" i="5"/>
  <c r="R104" i="5"/>
  <c r="B46" i="6"/>
  <c r="G46" i="6" s="1"/>
  <c r="B26" i="6"/>
  <c r="G26" i="6" s="1"/>
  <c r="G21" i="6"/>
  <c r="B36" i="6"/>
  <c r="G36" i="6"/>
  <c r="H2439" i="5"/>
  <c r="F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X2172" i="5"/>
  <c r="H2114" i="5"/>
  <c r="F2114" i="5"/>
  <c r="J2114" i="5"/>
  <c r="I2114" i="5"/>
  <c r="R2114" i="5"/>
  <c r="F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X1081" i="5"/>
  <c r="R1081" i="5"/>
  <c r="F1081"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R362" i="5"/>
  <c r="R184" i="5"/>
  <c r="R328" i="5"/>
  <c r="R220" i="5"/>
  <c r="R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X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X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X1401" i="5"/>
  <c r="I1295" i="5"/>
  <c r="H1295" i="5"/>
  <c r="R1295" i="5"/>
  <c r="J1295" i="5"/>
  <c r="F1295" i="5"/>
  <c r="F964" i="5"/>
  <c r="R964" i="5"/>
  <c r="I964" i="5"/>
  <c r="H964" i="5"/>
  <c r="J964" i="5"/>
  <c r="F960" i="5"/>
  <c r="R960" i="5"/>
  <c r="H960" i="5"/>
  <c r="J960" i="5"/>
  <c r="I960"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R410" i="5"/>
  <c r="R216" i="5"/>
  <c r="R120" i="5"/>
  <c r="R140" i="5"/>
  <c r="R192" i="5"/>
  <c r="F41" i="6"/>
  <c r="H41" i="6" s="1"/>
  <c r="D41" i="6" s="1"/>
  <c r="F36" i="6"/>
  <c r="H36" i="6"/>
  <c r="D36" i="6" s="1"/>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X621" i="5"/>
  <c r="R621" i="5"/>
  <c r="J621" i="5"/>
  <c r="R575" i="5"/>
  <c r="J575" i="5"/>
  <c r="F575" i="5"/>
  <c r="I575" i="5"/>
  <c r="H575" i="5"/>
  <c r="F545" i="5"/>
  <c r="R545" i="5"/>
  <c r="J545" i="5"/>
  <c r="I545" i="5"/>
  <c r="H545" i="5"/>
  <c r="R473" i="5"/>
  <c r="F517" i="5"/>
  <c r="R517" i="5"/>
  <c r="H517" i="5"/>
  <c r="J517" i="5"/>
  <c r="I517" i="5"/>
  <c r="R475" i="5"/>
  <c r="F525" i="5"/>
  <c r="R525" i="5"/>
  <c r="J525" i="5"/>
  <c r="I525" i="5"/>
  <c r="H525" i="5"/>
  <c r="R477" i="5"/>
  <c r="H585" i="5"/>
  <c r="F585" i="5"/>
  <c r="R585" i="5"/>
  <c r="J585" i="5"/>
  <c r="I585" i="5"/>
  <c r="R346" i="5"/>
  <c r="R366" i="5"/>
  <c r="R390" i="5"/>
  <c r="R386" i="5"/>
  <c r="R367" i="5"/>
  <c r="R342" i="5"/>
  <c r="R296" i="5"/>
  <c r="R272" i="5"/>
  <c r="R264" i="5"/>
  <c r="R256" i="5"/>
  <c r="R248" i="5"/>
  <c r="R240" i="5"/>
  <c r="R382" i="5"/>
  <c r="R359" i="5"/>
  <c r="R196" i="5"/>
  <c r="R208" i="5"/>
  <c r="R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X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R1779" i="5"/>
  <c r="J1779" i="5"/>
  <c r="I1779" i="5"/>
  <c r="I1821" i="5"/>
  <c r="J1821" i="5"/>
  <c r="H1821" i="5"/>
  <c r="F1821" i="5"/>
  <c r="X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X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R462" i="5"/>
  <c r="R460" i="5"/>
  <c r="R375" i="5"/>
  <c r="R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X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R465" i="5"/>
  <c r="H561" i="5"/>
  <c r="F561" i="5"/>
  <c r="R561" i="5"/>
  <c r="J561" i="5"/>
  <c r="I561" i="5"/>
  <c r="H549" i="5"/>
  <c r="F549" i="5"/>
  <c r="R549" i="5"/>
  <c r="I549" i="5"/>
  <c r="J549" i="5"/>
  <c r="F489" i="5"/>
  <c r="R489" i="5"/>
  <c r="J489" i="5"/>
  <c r="I489" i="5"/>
  <c r="H489" i="5"/>
  <c r="R434" i="5"/>
  <c r="R426" i="5"/>
  <c r="R370" i="5"/>
  <c r="R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R172" i="5"/>
  <c r="R160" i="5"/>
  <c r="R180" i="5"/>
  <c r="R200" i="5"/>
  <c r="R308" i="5"/>
  <c r="R100" i="5"/>
  <c r="R312" i="5"/>
  <c r="R188" i="5"/>
  <c r="D16" i="6"/>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R450" i="5"/>
  <c r="R418" i="5"/>
  <c r="R406" i="5"/>
  <c r="R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J1417" i="5"/>
  <c r="I1417" i="5"/>
  <c r="R1417" i="5"/>
  <c r="H1417" i="5"/>
  <c r="F1417" i="5"/>
  <c r="X1417" i="5"/>
  <c r="R1734" i="5"/>
  <c r="J1734" i="5"/>
  <c r="I1734" i="5"/>
  <c r="H1734" i="5"/>
  <c r="F1734" i="5"/>
  <c r="J1437" i="5"/>
  <c r="I1437" i="5"/>
  <c r="H1437" i="5"/>
  <c r="F1437" i="5"/>
  <c r="X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X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X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R446" i="5"/>
  <c r="R438" i="5"/>
  <c r="R430" i="5"/>
  <c r="R422" i="5"/>
  <c r="R414" i="5"/>
  <c r="R164" i="5"/>
  <c r="R339" i="5"/>
  <c r="R152" i="5"/>
  <c r="R212" i="5"/>
  <c r="R168" i="5"/>
  <c r="F2430" i="5"/>
  <c r="R2430" i="5"/>
  <c r="J2430" i="5"/>
  <c r="I2430" i="5"/>
  <c r="H2430" i="5"/>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X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X977" i="5"/>
  <c r="R977" i="5"/>
  <c r="F977" i="5"/>
  <c r="F849" i="5"/>
  <c r="R849" i="5"/>
  <c r="I849" i="5"/>
  <c r="J849" i="5"/>
  <c r="H849" i="5"/>
  <c r="I649" i="5"/>
  <c r="H649" i="5"/>
  <c r="F649" i="5"/>
  <c r="R649" i="5"/>
  <c r="J649" i="5"/>
  <c r="I617" i="5"/>
  <c r="H617" i="5"/>
  <c r="F617" i="5"/>
  <c r="X617" i="5"/>
  <c r="R617" i="5"/>
  <c r="J617" i="5"/>
  <c r="J703" i="5"/>
  <c r="I703" i="5"/>
  <c r="R703" i="5"/>
  <c r="H703" i="5"/>
  <c r="F703" i="5"/>
  <c r="I593" i="5"/>
  <c r="H593" i="5"/>
  <c r="F593" i="5"/>
  <c r="R593" i="5"/>
  <c r="J593" i="5"/>
  <c r="R481" i="5"/>
  <c r="F533" i="5"/>
  <c r="R533" i="5"/>
  <c r="H533" i="5"/>
  <c r="J533" i="5"/>
  <c r="I533" i="5"/>
  <c r="H569" i="5"/>
  <c r="F569" i="5"/>
  <c r="R569" i="5"/>
  <c r="J569" i="5"/>
  <c r="I569" i="5"/>
  <c r="H573" i="5"/>
  <c r="F573" i="5"/>
  <c r="R573" i="5"/>
  <c r="J573" i="5"/>
  <c r="I573" i="5"/>
  <c r="R350" i="5"/>
  <c r="R108" i="5"/>
  <c r="R128" i="5"/>
  <c r="R136" i="5"/>
  <c r="R320" i="5"/>
  <c r="R112" i="5"/>
  <c r="S566" i="5"/>
  <c r="S542" i="5"/>
  <c r="S482" i="5"/>
  <c r="S546" i="5"/>
  <c r="S563" i="5"/>
  <c r="S459" i="5"/>
  <c r="S499" i="5"/>
  <c r="S495" i="5"/>
  <c r="S508" i="5"/>
  <c r="S523" i="5"/>
  <c r="S535" i="5"/>
  <c r="S476" i="5"/>
  <c r="S492" i="5"/>
  <c r="S504" i="5"/>
  <c r="S483" i="5"/>
  <c r="S488" i="5"/>
  <c r="S590" i="5"/>
  <c r="S530" i="5"/>
  <c r="S480" i="5"/>
  <c r="S531" i="5"/>
  <c r="S528" i="5"/>
  <c r="S516" i="5"/>
  <c r="S594" i="5"/>
  <c r="S507" i="5"/>
  <c r="S582" i="5"/>
  <c r="S500" i="5"/>
  <c r="S512" i="5"/>
  <c r="S503" i="5"/>
  <c r="S478" i="5"/>
  <c r="S514" i="5"/>
  <c r="S558" i="5"/>
  <c r="S559" i="5"/>
  <c r="S487" i="5"/>
  <c r="S551" i="5"/>
  <c r="S519" i="5"/>
  <c r="S547" i="5"/>
  <c r="S544" i="5"/>
  <c r="S526" i="5"/>
  <c r="S540" i="5"/>
  <c r="S520" i="5"/>
  <c r="S550" i="5"/>
  <c r="S536" i="5"/>
  <c r="S498" i="5"/>
  <c r="S484" i="5"/>
  <c r="S471" i="5"/>
  <c r="S515" i="5"/>
  <c r="S555" i="5"/>
  <c r="S570" i="5"/>
  <c r="S527" i="5"/>
  <c r="X589" i="5"/>
  <c r="X354" i="5"/>
  <c r="X597" i="5"/>
  <c r="S597" i="5"/>
  <c r="X505" i="5"/>
  <c r="S599" i="5"/>
  <c r="X465" i="5"/>
  <c r="X462" i="5"/>
  <c r="X346" i="5"/>
  <c r="X140" i="5"/>
  <c r="X493" i="5"/>
  <c r="S611" i="5"/>
  <c r="X220" i="5"/>
  <c r="X398" i="5"/>
  <c r="S601" i="5"/>
  <c r="X402" i="5"/>
  <c r="X340" i="5"/>
  <c r="X466" i="5"/>
  <c r="X521" i="5"/>
  <c r="X467" i="5"/>
  <c r="X427" i="5"/>
  <c r="X472" i="5"/>
  <c r="X287" i="5"/>
  <c r="X407" i="5"/>
  <c r="X152" i="5"/>
  <c r="X180" i="5"/>
  <c r="X375" i="5"/>
  <c r="X232" i="5"/>
  <c r="X264" i="5"/>
  <c r="X296" i="5"/>
  <c r="X192" i="5"/>
  <c r="X410" i="5"/>
  <c r="X176" i="5"/>
  <c r="X362" i="5"/>
  <c r="X244" i="5"/>
  <c r="X276" i="5"/>
  <c r="X378" i="5"/>
  <c r="X151" i="5"/>
  <c r="X91" i="5"/>
  <c r="X281" i="5"/>
  <c r="X103" i="5"/>
  <c r="X320" i="5"/>
  <c r="X212" i="5"/>
  <c r="X339" i="5"/>
  <c r="X454" i="5"/>
  <c r="X406" i="5"/>
  <c r="X188" i="5"/>
  <c r="X370" i="5"/>
  <c r="X565" i="5"/>
  <c r="X359" i="5"/>
  <c r="X366" i="5"/>
  <c r="X328" i="5"/>
  <c r="X204" i="5"/>
  <c r="X411" i="5"/>
  <c r="X439" i="5"/>
  <c r="S600" i="5"/>
  <c r="X447" i="5"/>
  <c r="X251" i="5"/>
  <c r="X365" i="5"/>
  <c r="X423" i="5"/>
  <c r="X191" i="5"/>
  <c r="X243" i="5"/>
  <c r="X403" i="5"/>
  <c r="X108" i="5"/>
  <c r="X481" i="5"/>
  <c r="X112" i="5"/>
  <c r="X168" i="5"/>
  <c r="X164" i="5"/>
  <c r="X446" i="5"/>
  <c r="X308" i="5"/>
  <c r="X200" i="5"/>
  <c r="X316" i="5"/>
  <c r="X144" i="5"/>
  <c r="X208" i="5"/>
  <c r="X382" i="5"/>
  <c r="X224" i="5"/>
  <c r="X256" i="5"/>
  <c r="X288" i="5"/>
  <c r="X367" i="5"/>
  <c r="X390" i="5"/>
  <c r="X475" i="5"/>
  <c r="X537" i="5"/>
  <c r="X116" i="5"/>
  <c r="X236" i="5"/>
  <c r="X268" i="5"/>
  <c r="X300" i="5"/>
  <c r="X469" i="5"/>
  <c r="X431" i="5"/>
  <c r="X305" i="5"/>
  <c r="X277" i="5"/>
  <c r="X334" i="5"/>
  <c r="X297" i="5"/>
  <c r="X207" i="5"/>
  <c r="X194" i="5"/>
  <c r="X306" i="5"/>
  <c r="X395" i="5"/>
  <c r="X115" i="5"/>
  <c r="X533" i="5"/>
  <c r="S533" i="5"/>
  <c r="X438" i="5"/>
  <c r="X148" i="5"/>
  <c r="X458" i="5"/>
  <c r="X609" i="5"/>
  <c r="X561" i="5"/>
  <c r="X386" i="5"/>
  <c r="X545" i="5"/>
  <c r="X216" i="5"/>
  <c r="X355" i="5"/>
  <c r="X330" i="5"/>
  <c r="X391" i="5"/>
  <c r="S602" i="5"/>
  <c r="X262" i="5"/>
  <c r="X350" i="5"/>
  <c r="X573" i="5"/>
  <c r="X430" i="5"/>
  <c r="X450" i="5"/>
  <c r="X312" i="5"/>
  <c r="X156" i="5"/>
  <c r="X358" i="5"/>
  <c r="X434" i="5"/>
  <c r="X549" i="5"/>
  <c r="X124" i="5"/>
  <c r="S603" i="5"/>
  <c r="X248" i="5"/>
  <c r="X280" i="5"/>
  <c r="X477" i="5"/>
  <c r="X184" i="5"/>
  <c r="X104" i="5"/>
  <c r="X228" i="5"/>
  <c r="X260" i="5"/>
  <c r="X292" i="5"/>
  <c r="X374" i="5"/>
  <c r="X394" i="5"/>
  <c r="S605" i="5"/>
  <c r="X279" i="5"/>
  <c r="X163" i="5"/>
  <c r="X443" i="5"/>
  <c r="X102" i="5"/>
  <c r="X189" i="5"/>
  <c r="X128" i="5"/>
  <c r="X422" i="5"/>
  <c r="X418" i="5"/>
  <c r="X172" i="5"/>
  <c r="X581" i="5"/>
  <c r="S607" i="5"/>
  <c r="X426" i="5"/>
  <c r="X342" i="5"/>
  <c r="X473" i="5"/>
  <c r="X442" i="5"/>
  <c r="X132" i="5"/>
  <c r="X324" i="5"/>
  <c r="X303" i="5"/>
  <c r="X211" i="5"/>
  <c r="X435" i="5"/>
  <c r="X43" i="5"/>
  <c r="X215" i="5"/>
  <c r="X201" i="5"/>
  <c r="X87" i="5"/>
  <c r="X314" i="5"/>
  <c r="X463" i="5"/>
  <c r="X136" i="5"/>
  <c r="X474" i="5"/>
  <c r="X414" i="5"/>
  <c r="X160" i="5"/>
  <c r="X460" i="5"/>
  <c r="X196" i="5"/>
  <c r="X240" i="5"/>
  <c r="X272" i="5"/>
  <c r="X120" i="5"/>
  <c r="X252" i="5"/>
  <c r="X284" i="5"/>
  <c r="X419" i="5"/>
  <c r="X261" i="5"/>
  <c r="X415" i="5"/>
  <c r="X293" i="5"/>
  <c r="X239" i="5"/>
  <c r="X71" i="5"/>
  <c r="X265" i="5"/>
  <c r="AB12" i="5"/>
  <c r="AB9" i="5"/>
  <c r="AB10" i="5"/>
  <c r="AB14" i="5"/>
  <c r="AB17" i="5"/>
  <c r="AB16" i="5"/>
  <c r="AB8" i="5"/>
  <c r="AB13" i="5"/>
  <c r="AB15" i="5"/>
  <c r="AB11" i="5"/>
  <c r="AB7" i="5"/>
  <c r="X100" i="5"/>
  <c r="S589" i="5"/>
  <c r="S521" i="5"/>
  <c r="S472" i="5"/>
  <c r="S596" i="5"/>
  <c r="S496" i="5"/>
  <c r="S591" i="5"/>
  <c r="S569" i="5"/>
  <c r="S553" i="5"/>
  <c r="S525" i="5"/>
  <c r="S469" i="5"/>
  <c r="S562" i="5"/>
  <c r="S463" i="5"/>
  <c r="S477" i="5"/>
  <c r="S571" i="5"/>
  <c r="S579" i="5"/>
  <c r="S473" i="5"/>
  <c r="S576" i="5"/>
  <c r="S608" i="5"/>
  <c r="S465" i="5"/>
  <c r="S493" i="5"/>
  <c r="S467" i="5"/>
  <c r="S517" i="5"/>
  <c r="S475" i="5"/>
  <c r="S529" i="5"/>
  <c r="S458" i="5"/>
  <c r="S534" i="5"/>
  <c r="S587" i="5"/>
  <c r="S554" i="5"/>
  <c r="S509" i="5"/>
  <c r="S522" i="5"/>
  <c r="S565" i="5"/>
  <c r="S481" i="5"/>
  <c r="S592" i="5"/>
  <c r="S545" i="5"/>
  <c r="S462" i="5"/>
  <c r="S502" i="5"/>
  <c r="S538" i="5"/>
  <c r="S486" i="5"/>
  <c r="S567" i="5"/>
  <c r="S578" i="5"/>
  <c r="S595" i="5"/>
  <c r="S490" i="5"/>
  <c r="S513" i="5"/>
  <c r="S557" i="5"/>
  <c r="S556" i="5"/>
  <c r="S549" i="5"/>
  <c r="S581" i="5"/>
  <c r="S580" i="5"/>
  <c r="S537" i="5"/>
  <c r="S485" i="5"/>
  <c r="S541" i="5"/>
  <c r="S573" i="5"/>
  <c r="S501" i="5"/>
  <c r="S460" i="5"/>
  <c r="S561" i="5"/>
  <c r="S574" i="5"/>
  <c r="S505" i="5"/>
  <c r="S577" i="5"/>
  <c r="S466" i="5"/>
  <c r="S518" i="5"/>
  <c r="S524" i="5"/>
  <c r="S506" i="5"/>
  <c r="S609" i="5"/>
  <c r="S575" i="5"/>
  <c r="S497" i="5"/>
  <c r="S474" i="5"/>
  <c r="S585" i="5"/>
  <c r="S583" i="5"/>
  <c r="S588" i="5"/>
  <c r="S489" i="5"/>
  <c r="S593" i="5"/>
  <c r="R16" i="5"/>
  <c r="R10" i="5"/>
  <c r="R13" i="5"/>
  <c r="R7" i="5"/>
  <c r="R17" i="5"/>
  <c r="G67" i="6"/>
  <c r="R12" i="5"/>
  <c r="R9" i="5"/>
  <c r="R8" i="5"/>
  <c r="R15" i="5"/>
  <c r="R11" i="5"/>
  <c r="R14" i="5"/>
  <c r="X13" i="5"/>
  <c r="X10" i="5"/>
  <c r="X9" i="5"/>
  <c r="X12" i="5"/>
  <c r="X14" i="5"/>
  <c r="X17" i="5"/>
  <c r="X11" i="5"/>
  <c r="X15" i="5"/>
  <c r="X8" i="5"/>
  <c r="X7" i="5"/>
  <c r="X16" i="5"/>
  <c r="S213" i="5"/>
  <c r="S193" i="5"/>
  <c r="S409" i="5"/>
  <c r="S77" i="5"/>
  <c r="S106" i="5"/>
  <c r="S31" i="5"/>
  <c r="S429" i="5"/>
  <c r="S179" i="5"/>
  <c r="S195" i="5"/>
  <c r="S440" i="5"/>
  <c r="S408" i="5"/>
  <c r="S302" i="5"/>
  <c r="S49" i="5"/>
  <c r="S235" i="5"/>
  <c r="S420" i="5"/>
  <c r="S385" i="5"/>
  <c r="S445" i="5"/>
  <c r="S58" i="5"/>
  <c r="T5" i="5"/>
  <c r="S42" i="5"/>
  <c r="S74" i="5"/>
  <c r="S344" i="5"/>
  <c r="S377" i="5"/>
  <c r="S177" i="5"/>
  <c r="S45" i="5"/>
  <c r="S159" i="5"/>
  <c r="S259" i="5"/>
  <c r="S127" i="5"/>
  <c r="S299" i="5"/>
  <c r="S26" i="5"/>
  <c r="S155" i="5"/>
  <c r="S271" i="5"/>
  <c r="S28" i="5"/>
  <c r="S263" i="5"/>
  <c r="S412" i="5"/>
  <c r="S278" i="5"/>
  <c r="S44" i="5"/>
  <c r="S114" i="5"/>
  <c r="S133" i="5"/>
  <c r="S322" i="5"/>
  <c r="S368" i="5"/>
  <c r="S110" i="5"/>
  <c r="S34" i="5"/>
  <c r="S166" i="5"/>
  <c r="S387" i="5"/>
  <c r="S202" i="5"/>
  <c r="S319" i="5"/>
  <c r="S241" i="5"/>
  <c r="S218" i="5"/>
  <c r="S21" i="5"/>
  <c r="S142" i="5"/>
  <c r="S90" i="5"/>
  <c r="S60" i="5"/>
  <c r="S52" i="5"/>
  <c r="S443" i="5"/>
  <c r="S188" i="5"/>
  <c r="S144" i="5"/>
  <c r="S216" i="5"/>
  <c r="S402" i="5"/>
  <c r="S103" i="5"/>
  <c r="S308" i="5"/>
  <c r="S260" i="5"/>
  <c r="S328" i="5"/>
  <c r="S272" i="5"/>
  <c r="S411" i="5"/>
  <c r="S215" i="5"/>
  <c r="S422" i="5"/>
  <c r="S152" i="5"/>
  <c r="S359" i="5"/>
  <c r="S14" i="5"/>
  <c r="S366" i="5"/>
  <c r="S391" i="5"/>
  <c r="S415" i="5"/>
  <c r="S350" i="5"/>
  <c r="S112" i="5"/>
  <c r="S264" i="5"/>
  <c r="S397" i="5"/>
  <c r="S349" i="5"/>
  <c r="S361" i="5"/>
  <c r="S341" i="5"/>
  <c r="S113" i="5"/>
  <c r="S436" i="5"/>
  <c r="S75" i="5"/>
  <c r="S416" i="5"/>
  <c r="S39" i="5"/>
  <c r="S389" i="5"/>
  <c r="S157" i="5"/>
  <c r="S51" i="5"/>
  <c r="S291" i="5"/>
  <c r="S210" i="5"/>
  <c r="S283" i="5"/>
  <c r="S343" i="5"/>
  <c r="S363" i="5"/>
  <c r="S149" i="5"/>
  <c r="S222" i="5"/>
  <c r="S351" i="5"/>
  <c r="S23" i="5"/>
  <c r="S456" i="5"/>
  <c r="S96" i="5"/>
  <c r="S141" i="5"/>
  <c r="S158" i="5"/>
  <c r="S118" i="5"/>
  <c r="S221" i="5"/>
  <c r="S249" i="5"/>
  <c r="S173" i="5"/>
  <c r="S84" i="5"/>
  <c r="S186" i="5"/>
  <c r="S122" i="5"/>
  <c r="S313" i="5"/>
  <c r="S154" i="5"/>
  <c r="S206" i="5"/>
  <c r="S309" i="5"/>
  <c r="S324" i="5"/>
  <c r="S180" i="5"/>
  <c r="S256" i="5"/>
  <c r="S339" i="5"/>
  <c r="S208" i="5"/>
  <c r="S386" i="5"/>
  <c r="S102" i="5"/>
  <c r="S447" i="5"/>
  <c r="S454" i="5"/>
  <c r="S160" i="5"/>
  <c r="S87" i="5"/>
  <c r="S10" i="5"/>
  <c r="S147" i="5"/>
  <c r="S47" i="5"/>
  <c r="S190" i="5"/>
  <c r="S441" i="5"/>
  <c r="S59" i="5"/>
  <c r="S73" i="5"/>
  <c r="S455" i="5"/>
  <c r="S238" i="5"/>
  <c r="S333" i="5"/>
  <c r="S174" i="5"/>
  <c r="S289" i="5"/>
  <c r="S203" i="5"/>
  <c r="S437" i="5"/>
  <c r="S169" i="5"/>
  <c r="S295" i="5"/>
  <c r="S83" i="5"/>
  <c r="S267" i="5"/>
  <c r="S237" i="5"/>
  <c r="S131" i="5"/>
  <c r="S197" i="5"/>
  <c r="S175" i="5"/>
  <c r="S392" i="5"/>
  <c r="S27" i="5"/>
  <c r="S405" i="5"/>
  <c r="S93" i="5"/>
  <c r="S425" i="5"/>
  <c r="S37" i="5"/>
  <c r="S353" i="5"/>
  <c r="S50" i="5"/>
  <c r="S329" i="5"/>
  <c r="S38" i="5"/>
  <c r="S245" i="5"/>
  <c r="S323" i="5"/>
  <c r="S185" i="5"/>
  <c r="S399" i="5"/>
  <c r="S20" i="5"/>
  <c r="S335" i="5"/>
  <c r="S326" i="5"/>
  <c r="S294" i="5"/>
  <c r="S253" i="5"/>
  <c r="S331" i="5"/>
  <c r="S40" i="5"/>
  <c r="S338" i="5"/>
  <c r="S22" i="5"/>
  <c r="S307" i="5"/>
  <c r="S63" i="5"/>
  <c r="S30" i="5"/>
  <c r="S314" i="5"/>
  <c r="S276" i="5"/>
  <c r="S365" i="5"/>
  <c r="S239" i="5"/>
  <c r="S354" i="5"/>
  <c r="S192" i="5"/>
  <c r="S204" i="5"/>
  <c r="S236" i="5"/>
  <c r="S262" i="5"/>
  <c r="S201" i="5"/>
  <c r="S367" i="5"/>
  <c r="S189" i="5"/>
  <c r="S435" i="5"/>
  <c r="S407" i="5"/>
  <c r="S164" i="5"/>
  <c r="S279" i="5"/>
  <c r="S128" i="5"/>
  <c r="S265" i="5"/>
  <c r="S346" i="5"/>
  <c r="S151" i="5"/>
  <c r="S316" i="5"/>
  <c r="S104" i="5"/>
  <c r="S12" i="5"/>
  <c r="S9" i="5"/>
  <c r="S150" i="5"/>
  <c r="S247" i="5"/>
  <c r="S449" i="5"/>
  <c r="S352" i="5"/>
  <c r="S444" i="5"/>
  <c r="S255" i="5"/>
  <c r="S56" i="5"/>
  <c r="S371" i="5"/>
  <c r="S36" i="5"/>
  <c r="S153" i="5"/>
  <c r="S230" i="5"/>
  <c r="S138" i="5"/>
  <c r="S92" i="5"/>
  <c r="S233" i="5"/>
  <c r="S217" i="5"/>
  <c r="S78" i="5"/>
  <c r="S254" i="5"/>
  <c r="S430" i="5"/>
  <c r="S398" i="5"/>
  <c r="S306" i="5"/>
  <c r="S136" i="5"/>
  <c r="S297" i="5"/>
  <c r="S252" i="5"/>
  <c r="S280" i="5"/>
  <c r="S406" i="5"/>
  <c r="S395" i="5"/>
  <c r="S13" i="5"/>
  <c r="S401" i="5"/>
  <c r="S129" i="5"/>
  <c r="S67" i="5"/>
  <c r="S364" i="5"/>
  <c r="S327" i="5"/>
  <c r="S336" i="5"/>
  <c r="S317" i="5"/>
  <c r="S48" i="5"/>
  <c r="S76" i="5"/>
  <c r="S85" i="5"/>
  <c r="S428" i="5"/>
  <c r="S53" i="5"/>
  <c r="S417" i="5"/>
  <c r="S95" i="5"/>
  <c r="S275" i="5"/>
  <c r="S225" i="5"/>
  <c r="S19" i="5"/>
  <c r="S187" i="5"/>
  <c r="S57" i="5"/>
  <c r="S348" i="5"/>
  <c r="S25" i="5"/>
  <c r="S413" i="5"/>
  <c r="S125" i="5"/>
  <c r="S424" i="5"/>
  <c r="S121" i="5"/>
  <c r="S178" i="5"/>
  <c r="S373" i="5"/>
  <c r="S384" i="5"/>
  <c r="S198" i="5"/>
  <c r="S286" i="5"/>
  <c r="S80" i="5"/>
  <c r="S290" i="5"/>
  <c r="S250" i="5"/>
  <c r="S98" i="5"/>
  <c r="S205" i="5"/>
  <c r="S72" i="5"/>
  <c r="S170" i="5"/>
  <c r="S258" i="5"/>
  <c r="S282" i="5"/>
  <c r="S100" i="5"/>
  <c r="S298" i="5"/>
  <c r="S181" i="5"/>
  <c r="S337" i="5"/>
  <c r="S64" i="5"/>
  <c r="S369" i="5"/>
  <c r="S355" i="5"/>
  <c r="S140" i="5"/>
  <c r="S403" i="5"/>
  <c r="S277" i="5"/>
  <c r="S362" i="5"/>
  <c r="S423" i="5"/>
  <c r="S268" i="5"/>
  <c r="S442" i="5"/>
  <c r="S196" i="5"/>
  <c r="S232" i="5"/>
  <c r="S418" i="5"/>
  <c r="S300" i="5"/>
  <c r="S426" i="5"/>
  <c r="S390" i="5"/>
  <c r="S163" i="5"/>
  <c r="S16" i="5"/>
  <c r="S7" i="5"/>
  <c r="S123" i="5"/>
  <c r="S171" i="5"/>
  <c r="S137" i="5"/>
  <c r="S223" i="5"/>
  <c r="S269" i="5"/>
  <c r="S89" i="5"/>
  <c r="S41" i="5"/>
  <c r="S448" i="5"/>
  <c r="S315" i="5"/>
  <c r="S146" i="5"/>
  <c r="S332" i="5"/>
  <c r="S270" i="5"/>
  <c r="S32" i="5"/>
  <c r="S321" i="5"/>
  <c r="S347" i="5"/>
  <c r="S66" i="5"/>
  <c r="S24" i="5"/>
  <c r="S212" i="5"/>
  <c r="S115" i="5"/>
  <c r="S91" i="5"/>
  <c r="S168" i="5"/>
  <c r="S124" i="5"/>
  <c r="S438" i="5"/>
  <c r="S303" i="5"/>
  <c r="S132" i="5"/>
  <c r="S427" i="5"/>
  <c r="S211" i="5"/>
  <c r="S97" i="5"/>
  <c r="S145" i="5"/>
  <c r="S119" i="5"/>
  <c r="S404" i="5"/>
  <c r="S396" i="5"/>
  <c r="S356" i="5"/>
  <c r="S226" i="5"/>
  <c r="S231" i="5"/>
  <c r="S376" i="5"/>
  <c r="S107" i="5"/>
  <c r="S70" i="5"/>
  <c r="S94" i="5"/>
  <c r="S167" i="5"/>
  <c r="S452" i="5"/>
  <c r="S61" i="5"/>
  <c r="S432" i="5"/>
  <c r="S161" i="5"/>
  <c r="S388" i="5"/>
  <c r="S105" i="5"/>
  <c r="S65" i="5"/>
  <c r="S257" i="5"/>
  <c r="S199" i="5"/>
  <c r="S69" i="5"/>
  <c r="S433" i="5"/>
  <c r="S81" i="5"/>
  <c r="S453" i="5"/>
  <c r="S227" i="5"/>
  <c r="S383" i="5"/>
  <c r="S360" i="5"/>
  <c r="S130" i="5"/>
  <c r="S68" i="5"/>
  <c r="S86" i="5"/>
  <c r="S182" i="5"/>
  <c r="S345" i="5"/>
  <c r="S134" i="5"/>
  <c r="S126" i="5"/>
  <c r="S29" i="5"/>
  <c r="S139" i="5"/>
  <c r="S318" i="5"/>
  <c r="S274" i="5"/>
  <c r="S266" i="5"/>
  <c r="S310" i="5"/>
  <c r="S82" i="5"/>
  <c r="S54" i="5"/>
  <c r="S101" i="5"/>
  <c r="S246" i="5"/>
  <c r="S381" i="5"/>
  <c r="S220" i="5"/>
  <c r="S194" i="5"/>
  <c r="S378" i="5"/>
  <c r="S108" i="5"/>
  <c r="S334" i="5"/>
  <c r="S156" i="5"/>
  <c r="S281" i="5"/>
  <c r="S43" i="5"/>
  <c r="S414" i="5"/>
  <c r="S410" i="5"/>
  <c r="S431" i="5"/>
  <c r="S120" i="5"/>
  <c r="S207" i="5"/>
  <c r="S312" i="5"/>
  <c r="S320" i="5"/>
  <c r="S305" i="5"/>
  <c r="S172" i="5"/>
  <c r="S15" i="5"/>
  <c r="S421" i="5"/>
  <c r="S99" i="5"/>
  <c r="S117" i="5"/>
  <c r="S209" i="5"/>
  <c r="S6" i="5"/>
  <c r="S191" i="5"/>
  <c r="S261" i="5"/>
  <c r="S251" i="5"/>
  <c r="S229" i="5"/>
  <c r="S400" i="5"/>
  <c r="S46" i="5"/>
  <c r="S382" i="5"/>
  <c r="S296" i="5"/>
  <c r="S287" i="5"/>
  <c r="S200" i="5"/>
  <c r="S248" i="5"/>
  <c r="S243" i="5"/>
  <c r="S148" i="5"/>
  <c r="S17" i="5"/>
  <c r="S18" i="5"/>
  <c r="S183" i="5"/>
  <c r="S33" i="5"/>
  <c r="S214" i="5"/>
  <c r="S273" i="5"/>
  <c r="S165" i="5"/>
  <c r="S242" i="5"/>
  <c r="S176" i="5"/>
  <c r="S116" i="5"/>
  <c r="S375" i="5"/>
  <c r="S330" i="5"/>
  <c r="S374" i="5"/>
  <c r="S219" i="5"/>
  <c r="T393" i="5"/>
  <c r="S311" i="5"/>
  <c r="S162" i="5"/>
  <c r="S451" i="5"/>
  <c r="S370" i="5"/>
  <c r="S340" i="5"/>
  <c r="S358" i="5"/>
  <c r="S446" i="5"/>
  <c r="S11" i="5"/>
  <c r="S380" i="5"/>
  <c r="S109" i="5"/>
  <c r="S234" i="5"/>
  <c r="S88" i="5"/>
  <c r="S419" i="5"/>
  <c r="S450" i="5"/>
  <c r="S292" i="5"/>
  <c r="S224" i="5"/>
  <c r="S8" i="5"/>
  <c r="S111" i="5"/>
  <c r="S357" i="5"/>
  <c r="S143" i="5"/>
  <c r="S379" i="5"/>
  <c r="S301" i="5"/>
  <c r="S240" i="5"/>
  <c r="S394" i="5"/>
  <c r="S288" i="5"/>
  <c r="S184" i="5"/>
  <c r="S293" i="5"/>
  <c r="S244" i="5"/>
  <c r="S434" i="5"/>
  <c r="S71" i="5"/>
  <c r="S135" i="5"/>
  <c r="S284" i="5"/>
  <c r="S35" i="5"/>
  <c r="S55" i="5"/>
  <c r="S304" i="5"/>
  <c r="S62" i="5"/>
  <c r="S285" i="5"/>
  <c r="S79" i="5"/>
  <c r="S325" i="5"/>
  <c r="S439" i="5"/>
  <c r="S342" i="5"/>
  <c r="S372" i="5"/>
  <c r="S228" i="5"/>
  <c r="G64" i="6" a="1"/>
  <c r="D74" i="4" l="1"/>
  <c r="A17" i="6"/>
  <c r="D55" i="4"/>
  <c r="A16" i="6"/>
  <c r="D43" i="4"/>
  <c r="A25" i="6"/>
  <c r="B59" i="4"/>
  <c r="A42" i="6" s="1"/>
  <c r="B71" i="4"/>
  <c r="A52" i="6" s="1"/>
  <c r="B53" i="4"/>
  <c r="A37" i="6" s="1"/>
  <c r="F44" i="6"/>
  <c r="F34" i="6"/>
  <c r="F39" i="6"/>
  <c r="F29" i="6"/>
  <c r="F65" i="6"/>
  <c r="F49" i="6"/>
  <c r="B55" i="4"/>
  <c r="A38" i="6" s="1"/>
  <c r="B81" i="4"/>
  <c r="A58" i="6" s="1"/>
  <c r="B43" i="4"/>
  <c r="A28" i="6" s="1"/>
  <c r="B77" i="4"/>
  <c r="A55" i="6" s="1"/>
  <c r="B61" i="4"/>
  <c r="A43" i="6" s="1"/>
  <c r="B85" i="4"/>
  <c r="A60" i="6" s="1"/>
  <c r="B79" i="4"/>
  <c r="A57" i="6" s="1"/>
  <c r="D19" i="6"/>
  <c r="K65" i="6"/>
  <c r="B24" i="6"/>
  <c r="G24" i="6" s="1"/>
  <c r="H24" i="6" s="1"/>
  <c r="D24" i="6" s="1"/>
  <c r="B39" i="6"/>
  <c r="G39" i="6" s="1"/>
  <c r="B29" i="6"/>
  <c r="G29" i="6" s="1"/>
  <c r="B34" i="6"/>
  <c r="G34" i="6" s="1"/>
  <c r="B49" i="6"/>
  <c r="G49" i="6" s="1"/>
  <c r="H49" i="6" s="1"/>
  <c r="D49" i="6" s="1"/>
  <c r="B63" i="4"/>
  <c r="A45" i="6" s="1"/>
  <c r="B44" i="6"/>
  <c r="G44" i="6" s="1"/>
  <c r="B51" i="4"/>
  <c r="A35" i="6" s="1"/>
  <c r="B57" i="4"/>
  <c r="A40" i="6" s="1"/>
  <c r="H26" i="6"/>
  <c r="D26" i="6" s="1"/>
  <c r="H21" i="6"/>
  <c r="B62" i="4"/>
  <c r="A44" i="6" s="1"/>
  <c r="A24" i="6"/>
  <c r="B68" i="4"/>
  <c r="A49" i="6" s="1"/>
  <c r="D15" i="6"/>
  <c r="C15" i="6"/>
  <c r="C41" i="6"/>
  <c r="B22" i="6"/>
  <c r="B42" i="6" s="1"/>
  <c r="G42" i="6" s="1"/>
  <c r="B32" i="6"/>
  <c r="G32" i="6" s="1"/>
  <c r="B47" i="6"/>
  <c r="G47" i="6" s="1"/>
  <c r="F27" i="6"/>
  <c r="G17" i="6"/>
  <c r="H17" i="6" s="1"/>
  <c r="C17" i="6"/>
  <c r="F67" i="6"/>
  <c r="H67" i="6" s="1"/>
  <c r="F31" i="6"/>
  <c r="H31" i="6" s="1"/>
  <c r="D31" i="6" s="1"/>
  <c r="F51" i="6"/>
  <c r="H51" i="6" s="1"/>
  <c r="D51" i="6" s="1"/>
  <c r="F46" i="6"/>
  <c r="H46" i="6" s="1"/>
  <c r="D46" i="6" s="1"/>
  <c r="B31" i="4"/>
  <c r="A18" i="6" s="1"/>
  <c r="B87" i="4"/>
  <c r="A62" i="6" s="1"/>
  <c r="B75" i="4"/>
  <c r="A54" i="6" s="1"/>
  <c r="B49" i="4"/>
  <c r="A33" i="6" s="1"/>
  <c r="B67" i="4"/>
  <c r="A48" i="6" s="1"/>
  <c r="B89" i="4"/>
  <c r="A63" i="6" s="1"/>
  <c r="B37" i="4"/>
  <c r="A23" i="6" s="1"/>
  <c r="B83" i="4"/>
  <c r="A59" i="6" s="1"/>
  <c r="F20" i="6"/>
  <c r="B20" i="6"/>
  <c r="F25" i="6" s="1"/>
  <c r="C49" i="6"/>
  <c r="B37" i="6"/>
  <c r="G37" i="6" s="1"/>
  <c r="C26" i="6"/>
  <c r="C21" i="6"/>
  <c r="C36" i="6"/>
  <c r="C19" i="6"/>
  <c r="D12" i="6"/>
  <c r="C12" i="6"/>
  <c r="B33" i="4"/>
  <c r="A20" i="6" s="1"/>
  <c r="B65" i="4"/>
  <c r="A47" i="6" s="1"/>
  <c r="G31" i="4"/>
  <c r="D37" i="4"/>
  <c r="G37" i="4"/>
  <c r="A27" i="6"/>
  <c r="D67" i="4"/>
  <c r="D7" i="6"/>
  <c r="C7" i="6"/>
  <c r="C8" i="6"/>
  <c r="D8" i="6"/>
  <c r="G49" i="4"/>
  <c r="C11" i="6"/>
  <c r="C10" i="6"/>
  <c r="C9" i="6"/>
  <c r="H6" i="6"/>
  <c r="D6" i="6" s="1"/>
  <c r="C6" i="6"/>
  <c r="C5" i="6"/>
  <c r="A14" i="6"/>
  <c r="C4" i="6"/>
  <c r="B56" i="4"/>
  <c r="A39" i="6" s="1"/>
  <c r="B50" i="4"/>
  <c r="A34" i="6" s="1"/>
  <c r="G66" i="6"/>
  <c r="G68" i="6"/>
  <c r="G65" i="6"/>
  <c r="H65" i="6" s="1"/>
  <c r="D65" i="6" s="1"/>
  <c r="B52" i="4"/>
  <c r="A36" i="6" s="1"/>
  <c r="B70" i="4"/>
  <c r="A51" i="6" s="1"/>
  <c r="G55" i="4"/>
  <c r="A26" i="6"/>
  <c r="B64" i="4"/>
  <c r="A46" i="6" s="1"/>
  <c r="G69" i="6" a="1"/>
  <c r="G69" i="6" s="1"/>
  <c r="H69" i="6" s="1"/>
  <c r="F69" i="6"/>
  <c r="G64" i="6"/>
  <c r="G61" i="4"/>
  <c r="G43" i="4"/>
  <c r="D61" i="4"/>
  <c r="D31" i="4"/>
  <c r="G74" i="4"/>
  <c r="T228" i="5"/>
  <c r="T304" i="5"/>
  <c r="T184" i="5"/>
  <c r="T8" i="5"/>
  <c r="T446" i="5"/>
  <c r="T330" i="5"/>
  <c r="T18" i="5"/>
  <c r="T46" i="5"/>
  <c r="T99" i="5"/>
  <c r="T410" i="5"/>
  <c r="T381" i="5"/>
  <c r="T318" i="5"/>
  <c r="T81" i="5"/>
  <c r="T70" i="5"/>
  <c r="T372" i="5"/>
  <c r="T55" i="5"/>
  <c r="T288" i="5"/>
  <c r="T292" i="5"/>
  <c r="T358" i="5"/>
  <c r="T375" i="5"/>
  <c r="T17" i="5"/>
  <c r="T400" i="5"/>
  <c r="T421" i="5"/>
  <c r="T414" i="5"/>
  <c r="T246" i="5"/>
  <c r="T29" i="5"/>
  <c r="T69" i="5"/>
  <c r="T107" i="5"/>
  <c r="T427" i="5"/>
  <c r="T32" i="5"/>
  <c r="T171" i="5"/>
  <c r="T268" i="5"/>
  <c r="T181" i="5"/>
  <c r="T80" i="5"/>
  <c r="T413" i="5"/>
  <c r="T95" i="5"/>
  <c r="T336" i="5"/>
  <c r="T406" i="5"/>
  <c r="T78" i="5"/>
  <c r="T352" i="5"/>
  <c r="T164" i="5"/>
  <c r="T192" i="5"/>
  <c r="T331" i="5"/>
  <c r="T245" i="5"/>
  <c r="T27" i="5"/>
  <c r="T437" i="5"/>
  <c r="T441" i="5"/>
  <c r="T208" i="5"/>
  <c r="T249" i="5"/>
  <c r="T283" i="5"/>
  <c r="T113" i="5"/>
  <c r="T359" i="5"/>
  <c r="T216" i="5"/>
  <c r="T241" i="5"/>
  <c r="T278" i="5"/>
  <c r="T177" i="5"/>
  <c r="T420" i="5"/>
  <c r="T193" i="5"/>
  <c r="T332" i="5"/>
  <c r="T198" i="5"/>
  <c r="T252" i="5"/>
  <c r="T435" i="5"/>
  <c r="T329" i="5"/>
  <c r="T289" i="5"/>
  <c r="T118" i="5"/>
  <c r="T215" i="5"/>
  <c r="T28" i="5"/>
  <c r="T342" i="5"/>
  <c r="T35" i="5"/>
  <c r="T394" i="5"/>
  <c r="T450" i="5"/>
  <c r="T340" i="5"/>
  <c r="T242" i="5"/>
  <c r="T243" i="5"/>
  <c r="T251" i="5"/>
  <c r="T15" i="5"/>
  <c r="T43" i="5"/>
  <c r="T101" i="5"/>
  <c r="T345" i="5"/>
  <c r="T199" i="5"/>
  <c r="T376" i="5"/>
  <c r="T303" i="5"/>
  <c r="T270" i="5"/>
  <c r="T7" i="5"/>
  <c r="T423" i="5"/>
  <c r="T298" i="5"/>
  <c r="T286" i="5"/>
  <c r="T25" i="5"/>
  <c r="T417" i="5"/>
  <c r="T327" i="5"/>
  <c r="T280" i="5"/>
  <c r="T217" i="5"/>
  <c r="T247" i="5"/>
  <c r="T407" i="5"/>
  <c r="T239" i="5"/>
  <c r="T294" i="5"/>
  <c r="T38" i="5"/>
  <c r="T392" i="5"/>
  <c r="T203" i="5"/>
  <c r="T190" i="5"/>
  <c r="T339" i="5"/>
  <c r="T221" i="5"/>
  <c r="T210" i="5"/>
  <c r="T361" i="5"/>
  <c r="T422" i="5"/>
  <c r="T188" i="5"/>
  <c r="T319" i="5"/>
  <c r="T412" i="5"/>
  <c r="T377" i="5"/>
  <c r="T49" i="5"/>
  <c r="T213" i="5"/>
  <c r="T16" i="5"/>
  <c r="T362" i="5"/>
  <c r="T282" i="5"/>
  <c r="T348" i="5"/>
  <c r="T53" i="5"/>
  <c r="T364" i="5"/>
  <c r="T92" i="5"/>
  <c r="T9" i="5"/>
  <c r="T365" i="5"/>
  <c r="T326" i="5"/>
  <c r="T197" i="5"/>
  <c r="T47" i="5"/>
  <c r="T256" i="5"/>
  <c r="T291" i="5"/>
  <c r="T349" i="5"/>
  <c r="T443" i="5"/>
  <c r="T202" i="5"/>
  <c r="T344" i="5"/>
  <c r="T302" i="5"/>
  <c r="T269" i="5"/>
  <c r="T196" i="5"/>
  <c r="T355" i="5"/>
  <c r="T250" i="5"/>
  <c r="T424" i="5"/>
  <c r="T225" i="5"/>
  <c r="T48" i="5"/>
  <c r="T13" i="5"/>
  <c r="T430" i="5"/>
  <c r="T236" i="5"/>
  <c r="T22" i="5"/>
  <c r="T295" i="5"/>
  <c r="T186" i="5"/>
  <c r="T75" i="5"/>
  <c r="T21" i="5"/>
  <c r="T259" i="5"/>
  <c r="T439" i="5"/>
  <c r="T284" i="5"/>
  <c r="T240" i="5"/>
  <c r="T419" i="5"/>
  <c r="T370" i="5"/>
  <c r="T165" i="5"/>
  <c r="T248" i="5"/>
  <c r="T261" i="5"/>
  <c r="T305" i="5"/>
  <c r="T281" i="5"/>
  <c r="T54" i="5"/>
  <c r="T86" i="5"/>
  <c r="T257" i="5"/>
  <c r="T226" i="5"/>
  <c r="T438" i="5"/>
  <c r="T325" i="5"/>
  <c r="T71" i="5"/>
  <c r="T301" i="5"/>
  <c r="T88" i="5"/>
  <c r="T451" i="5"/>
  <c r="T273" i="5"/>
  <c r="T200" i="5"/>
  <c r="T191" i="5"/>
  <c r="T320" i="5"/>
  <c r="T334" i="5"/>
  <c r="T82" i="5"/>
  <c r="T68" i="5"/>
  <c r="T65" i="5"/>
  <c r="T356" i="5"/>
  <c r="T115" i="5"/>
  <c r="T448" i="5"/>
  <c r="T426" i="5"/>
  <c r="T277" i="5"/>
  <c r="T258" i="5"/>
  <c r="T384" i="5"/>
  <c r="T57" i="5"/>
  <c r="T428" i="5"/>
  <c r="T67" i="5"/>
  <c r="T297" i="5"/>
  <c r="T138" i="5"/>
  <c r="T12" i="5"/>
  <c r="T367" i="5"/>
  <c r="T30" i="5"/>
  <c r="T335" i="5"/>
  <c r="T50" i="5"/>
  <c r="T237" i="5"/>
  <c r="T333" i="5"/>
  <c r="T87" i="5"/>
  <c r="T324" i="5"/>
  <c r="T96" i="5"/>
  <c r="T51" i="5"/>
  <c r="T112" i="5"/>
  <c r="T411" i="5"/>
  <c r="T52" i="5"/>
  <c r="T387" i="5"/>
  <c r="T271" i="5"/>
  <c r="T74" i="5"/>
  <c r="T440" i="5"/>
  <c r="T255" i="5"/>
  <c r="T185" i="5"/>
  <c r="T73" i="5"/>
  <c r="T363" i="5"/>
  <c r="T260" i="5"/>
  <c r="T322" i="5"/>
  <c r="T31" i="5"/>
  <c r="T321" i="5"/>
  <c r="T137" i="5"/>
  <c r="T64" i="5"/>
  <c r="T125" i="5"/>
  <c r="T275" i="5"/>
  <c r="T395" i="5"/>
  <c r="T444" i="5"/>
  <c r="T204" i="5"/>
  <c r="T323" i="5"/>
  <c r="T169" i="5"/>
  <c r="T386" i="5"/>
  <c r="T436" i="5"/>
  <c r="T366" i="5"/>
  <c r="T44" i="5"/>
  <c r="T45" i="5"/>
  <c r="T77" i="5"/>
  <c r="T79" i="5"/>
  <c r="T434" i="5"/>
  <c r="T379" i="5"/>
  <c r="T109" i="5"/>
  <c r="T311" i="5"/>
  <c r="T214" i="5"/>
  <c r="T287" i="5"/>
  <c r="T6" i="5"/>
  <c r="T312" i="5"/>
  <c r="T378" i="5"/>
  <c r="T310" i="5"/>
  <c r="T360" i="5"/>
  <c r="T105" i="5"/>
  <c r="T396" i="5"/>
  <c r="T212" i="5"/>
  <c r="T41" i="5"/>
  <c r="T300" i="5"/>
  <c r="T403" i="5"/>
  <c r="T72" i="5"/>
  <c r="T373" i="5"/>
  <c r="T187" i="5"/>
  <c r="T85" i="5"/>
  <c r="T129" i="5"/>
  <c r="T306" i="5"/>
  <c r="T36" i="5"/>
  <c r="T316" i="5"/>
  <c r="T201" i="5"/>
  <c r="T63" i="5"/>
  <c r="T20" i="5"/>
  <c r="T37" i="5"/>
  <c r="T267" i="5"/>
  <c r="T238" i="5"/>
  <c r="T160" i="5"/>
  <c r="T309" i="5"/>
  <c r="T456" i="5"/>
  <c r="T39" i="5"/>
  <c r="T350" i="5"/>
  <c r="T272" i="5"/>
  <c r="T60" i="5"/>
  <c r="T110" i="5"/>
  <c r="T26" i="5"/>
  <c r="T42" i="5"/>
  <c r="T195" i="5"/>
  <c r="T265" i="5"/>
  <c r="T93" i="5"/>
  <c r="T447" i="5"/>
  <c r="T391" i="5"/>
  <c r="T445" i="5"/>
  <c r="T211" i="5"/>
  <c r="T442" i="5"/>
  <c r="T290" i="5"/>
  <c r="T317" i="5"/>
  <c r="T254" i="5"/>
  <c r="T279" i="5"/>
  <c r="T40" i="5"/>
  <c r="T405" i="5"/>
  <c r="T59" i="5"/>
  <c r="T84" i="5"/>
  <c r="T343" i="5"/>
  <c r="T308" i="5"/>
  <c r="T218" i="5"/>
  <c r="T385" i="5"/>
  <c r="T285" i="5"/>
  <c r="T244" i="5"/>
  <c r="T357" i="5"/>
  <c r="T380" i="5"/>
  <c r="T219" i="5"/>
  <c r="T33" i="5"/>
  <c r="T296" i="5"/>
  <c r="T209" i="5"/>
  <c r="T207" i="5"/>
  <c r="T194" i="5"/>
  <c r="T266" i="5"/>
  <c r="T383" i="5"/>
  <c r="T61" i="5"/>
  <c r="T404" i="5"/>
  <c r="T66" i="5"/>
  <c r="T89" i="5"/>
  <c r="T418" i="5"/>
  <c r="T140" i="5"/>
  <c r="T205" i="5"/>
  <c r="T178" i="5"/>
  <c r="T19" i="5"/>
  <c r="T76" i="5"/>
  <c r="T401" i="5"/>
  <c r="T398" i="5"/>
  <c r="T56" i="5"/>
  <c r="T346" i="5"/>
  <c r="T262" i="5"/>
  <c r="T307" i="5"/>
  <c r="T399" i="5"/>
  <c r="T425" i="5"/>
  <c r="T83" i="5"/>
  <c r="T455" i="5"/>
  <c r="T454" i="5"/>
  <c r="T206" i="5"/>
  <c r="T23" i="5"/>
  <c r="T416" i="5"/>
  <c r="T415" i="5"/>
  <c r="T328" i="5"/>
  <c r="T90" i="5"/>
  <c r="T368" i="5"/>
  <c r="T299" i="5"/>
  <c r="T58" i="5"/>
  <c r="T429" i="5"/>
  <c r="T62" i="5"/>
  <c r="T293" i="5"/>
  <c r="T111" i="5"/>
  <c r="T11" i="5"/>
  <c r="T374" i="5"/>
  <c r="T183" i="5"/>
  <c r="T382" i="5"/>
  <c r="T117" i="5"/>
  <c r="T120" i="5"/>
  <c r="T220" i="5"/>
  <c r="T274" i="5"/>
  <c r="T453" i="5"/>
  <c r="T452" i="5"/>
  <c r="T119" i="5"/>
  <c r="T347" i="5"/>
  <c r="H39" i="6" l="1"/>
  <c r="C39" i="6" s="1"/>
  <c r="B25" i="6"/>
  <c r="G25" i="6" s="1"/>
  <c r="H25" i="6" s="1"/>
  <c r="B2" i="6"/>
  <c r="C2" i="6"/>
  <c r="H29" i="6"/>
  <c r="D21" i="6"/>
  <c r="K67" i="6"/>
  <c r="H34" i="6"/>
  <c r="C24" i="6"/>
  <c r="C46" i="6"/>
  <c r="H44" i="6"/>
  <c r="C51" i="6"/>
  <c r="C67" i="6"/>
  <c r="D67" i="6"/>
  <c r="B40" i="6"/>
  <c r="G40" i="6" s="1"/>
  <c r="B50" i="6"/>
  <c r="G50" i="6" s="1"/>
  <c r="G20" i="6"/>
  <c r="H20" i="6" s="1"/>
  <c r="B45" i="6"/>
  <c r="G45" i="6" s="1"/>
  <c r="B30" i="6"/>
  <c r="G30" i="6" s="1"/>
  <c r="D17" i="6"/>
  <c r="F68" i="6"/>
  <c r="F32" i="6"/>
  <c r="H32" i="6" s="1"/>
  <c r="F52" i="6"/>
  <c r="F37" i="6"/>
  <c r="H37" i="6" s="1"/>
  <c r="F42" i="6"/>
  <c r="H42" i="6" s="1"/>
  <c r="F47" i="6"/>
  <c r="H47" i="6" s="1"/>
  <c r="H68" i="6"/>
  <c r="C68" i="6" s="1"/>
  <c r="C31" i="6"/>
  <c r="F30" i="6"/>
  <c r="F45" i="6"/>
  <c r="F35" i="6"/>
  <c r="F40" i="6"/>
  <c r="F66" i="6"/>
  <c r="H66" i="6" s="1"/>
  <c r="D66" i="6" s="1"/>
  <c r="F50" i="6"/>
  <c r="F54" i="6"/>
  <c r="B35" i="6"/>
  <c r="G35" i="6" s="1"/>
  <c r="B27" i="6"/>
  <c r="G27" i="6" s="1"/>
  <c r="H27" i="6" s="1"/>
  <c r="G22" i="6"/>
  <c r="H22" i="6" s="1"/>
  <c r="B52" i="6"/>
  <c r="G52" i="6" s="1"/>
  <c r="C69" i="6"/>
  <c r="C65" i="6"/>
  <c r="H64" i="6"/>
  <c r="B64" i="6"/>
  <c r="D39" i="6" l="1"/>
  <c r="H52" i="6"/>
  <c r="C52" i="6" s="1"/>
  <c r="D34" i="6"/>
  <c r="C34" i="6"/>
  <c r="H30" i="6"/>
  <c r="D30" i="6" s="1"/>
  <c r="H50" i="6"/>
  <c r="D44" i="6"/>
  <c r="C44" i="6"/>
  <c r="D29" i="6"/>
  <c r="C29" i="6"/>
  <c r="H40" i="6"/>
  <c r="C40" i="6" s="1"/>
  <c r="D20" i="6"/>
  <c r="K66" i="6"/>
  <c r="C20" i="6"/>
  <c r="D27" i="6"/>
  <c r="C27" i="6"/>
  <c r="H35" i="6"/>
  <c r="D37" i="6"/>
  <c r="C37" i="6"/>
  <c r="D52" i="6"/>
  <c r="C66" i="6"/>
  <c r="H45" i="6"/>
  <c r="D32" i="6"/>
  <c r="C32" i="6"/>
  <c r="D22" i="6"/>
  <c r="C22" i="6"/>
  <c r="D50" i="6"/>
  <c r="C50" i="6"/>
  <c r="D25" i="6"/>
  <c r="C25" i="6"/>
  <c r="F57" i="6"/>
  <c r="H57" i="6" s="1"/>
  <c r="F63" i="6"/>
  <c r="H63" i="6" s="1"/>
  <c r="H54" i="6"/>
  <c r="F58" i="6"/>
  <c r="H58" i="6" s="1"/>
  <c r="F55" i="6"/>
  <c r="F62" i="6"/>
  <c r="H62" i="6" s="1"/>
  <c r="F60" i="6"/>
  <c r="H60" i="6" s="1"/>
  <c r="F59" i="6"/>
  <c r="H59" i="6" s="1"/>
  <c r="D68" i="6"/>
  <c r="K68" i="6"/>
  <c r="D47" i="6"/>
  <c r="C47" i="6"/>
  <c r="D42" i="6"/>
  <c r="C42" i="6"/>
  <c r="C64" i="6"/>
  <c r="D64" i="6"/>
  <c r="C30" i="6" l="1"/>
  <c r="D40" i="6"/>
  <c r="D63" i="6"/>
  <c r="C63" i="6"/>
  <c r="D57" i="6"/>
  <c r="C57" i="6"/>
  <c r="D35" i="6"/>
  <c r="C35" i="6"/>
  <c r="D59" i="6"/>
  <c r="C59" i="6"/>
  <c r="D60" i="6"/>
  <c r="C60" i="6"/>
  <c r="D62" i="6"/>
  <c r="C62" i="6"/>
  <c r="D45" i="6"/>
  <c r="C45" i="6"/>
  <c r="F56" i="6"/>
  <c r="H56" i="6" s="1"/>
  <c r="H55" i="6"/>
  <c r="D58" i="6"/>
  <c r="C58" i="6"/>
  <c r="D54" i="6"/>
  <c r="C54"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<sst xmlns="http://schemas.openxmlformats.org/spreadsheetml/2006/main" count="28581" uniqueCount="17077">
  <si>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</si>
  <si>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</si>
  <si>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</si>
  <si>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</si>
  <si>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</si>
  <si>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</si>
  <si>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</si>
  <si>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</si>
  <si>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</si>
  <si>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</si>
  <si>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</si>
  <si>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</si>
  <si>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</si>
  <si>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</si>
  <si>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</si>
  <si>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</si>
  <si>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</si>
  <si>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</si>
  <si>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</si>
  <si>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</si>
  <si>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</si>
  <si>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</si>
  <si>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</si>
  <si>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</si>
  <si>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</si>
  <si>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</si>
  <si>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</si>
  <si>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</si>
  <si>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</si>
  <si>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</si>
  <si>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</si>
  <si>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</si>
  <si>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</si>
  <si>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</si>
  <si>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</si>
  <si>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</si>
  <si>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</si>
  <si>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</si>
  <si>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</si>
  <si>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</si>
  <si>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</si>
  <si>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</si>
  <si>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</si>
  <si>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</si>
  <si>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</si>
  <si>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</si>
  <si>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</si>
  <si>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</si>
  <si>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</si>
  <si>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</si>
  <si>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</si>
  <si>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</si>
  <si>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</si>
  <si>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</si>
  <si>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</si>
  <si>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</si>
  <si>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</si>
  <si>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</si>
  <si>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</si>
  <si>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</si>
  <si>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</si>
  <si>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</si>
  <si>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</si>
  <si>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</si>
  <si>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</si>
  <si>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</si>
  <si>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</si>
  <si>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</si>
  <si>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</si>
  <si>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</si>
  <si>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</si>
  <si>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</si>
  <si>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</si>
  <si>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</si>
  <si>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</si>
  <si>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</si>
  <si>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</si>
  <si>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</si>
  <si>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</si>
  <si>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</si>
  <si>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</si>
  <si>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</si>
  <si>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</si>
  <si>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</si>
  <si>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</si>
  <si>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</si>
  <si>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</si>
  <si>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</si>
  <si>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</si>
  <si>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</si>
  <si>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</si>
  <si>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</si>
  <si>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</si>
  <si>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</si>
  <si>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</si>
  <si>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</si>
  <si>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</si>
  <si>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</si>
  <si>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</si>
  <si>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</si>
  <si>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</si>
  <si>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</si>
  <si>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</si>
  <si>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</si>
  <si>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</si>
  <si>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</si>
  <si>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</si>
  <si>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</si>
  <si>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</si>
  <si>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</si>
  <si>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</si>
  <si>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</si>
  <si>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</si>
  <si>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</si>
  <si>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</si>
  <si>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</si>
  <si>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</si>
  <si>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</si>
  <si>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</si>
  <si>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</si>
  <si>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</si>
  <si>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</si>
  <si>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</si>
  <si>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</si>
  <si>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</si>
  <si>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</si>
  <si>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</si>
  <si>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</si>
  <si>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</si>
  <si>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</si>
  <si>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</si>
  <si>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</si>
  <si>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</si>
  <si>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</si>
  <si>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</si>
  <si>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</si>
  <si>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</si>
  <si>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</si>
  <si>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</si>
  <si>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</si>
  <si>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</si>
  <si>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</si>
  <si>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</si>
  <si>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</si>
  <si>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</si>
  <si>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</si>
  <si>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</si>
  <si>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</si>
  <si>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</si>
  <si>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</si>
  <si>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</si>
  <si>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</si>
  <si>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</si>
  <si>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</si>
  <si>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</si>
  <si>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</si>
  <si>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</si>
  <si>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</si>
  <si>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</si>
  <si>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</si>
  <si>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</si>
  <si>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</si>
  <si>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</si>
  <si>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</si>
  <si>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</si>
  <si>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</si>
  <si>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</si>
  <si>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</si>
  <si>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</si>
  <si>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</si>
  <si>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</si>
  <si>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</si>
  <si>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</si>
  <si>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</si>
  <si>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</si>
  <si>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</si>
  <si>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</si>
  <si>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</si>
  <si>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</si>
  <si>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</si>
  <si>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</si>
  <si>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</si>
  <si>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</si>
  <si>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</si>
  <si>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</si>
  <si>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</si>
  <si>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</si>
  <si>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</si>
  <si>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</si>
  <si>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</si>
  <si>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</si>
  <si>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</si>
  <si>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</si>
  <si>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</si>
  <si>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</si>
  <si>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</si>
  <si>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</si>
  <si>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</si>
  <si>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</si>
  <si>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</si>
  <si>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</si>
  <si>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</si>
  <si>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</si>
  <si>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</si>
  <si>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</si>
  <si>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</si>
  <si>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</si>
  <si>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</si>
  <si>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</si>
  <si>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</si>
  <si>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</si>
  <si>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</si>
  <si>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</si>
  <si>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</si>
  <si>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</si>
  <si>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</si>
  <si>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</si>
  <si>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</si>
  <si>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</si>
  <si>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</si>
  <si>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</si>
  <si>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</si>
  <si>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</si>
  <si>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</si>
  <si>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</si>
  <si>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</si>
  <si>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</si>
  <si>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</si>
  <si>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</si>
  <si>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</si>
  <si>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</si>
  <si>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</si>
  <si>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</si>
  <si>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</si>
  <si>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</si>
  <si>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</si>
  <si>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</si>
  <si>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</si>
  <si>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</si>
  <si>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</si>
  <si>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</si>
  <si>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</si>
  <si>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</si>
  <si>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</si>
  <si>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</si>
  <si>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</si>
  <si>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</si>
  <si>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</si>
  <si>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</si>
  <si>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</si>
  <si>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</si>
  <si>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</si>
  <si>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</si>
  <si>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</si>
  <si>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</si>
  <si>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</si>
  <si>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</si>
  <si>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</si>
  <si>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</si>
  <si>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</si>
  <si>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</si>
  <si>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</si>
  <si>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</si>
  <si>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</si>
  <si>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</si>
  <si>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</si>
  <si>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</si>
  <si>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</si>
  <si>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</si>
  <si>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</si>
  <si>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</si>
  <si>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</si>
  <si>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</si>
  <si>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</si>
  <si>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</si>
  <si>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</si>
  <si>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</si>
  <si>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</si>
  <si>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</si>
  <si>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</si>
  <si>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</si>
  <si>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</si>
  <si>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</si>
  <si>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</si>
  <si>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</si>
  <si>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</si>
  <si>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</si>
  <si>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</si>
  <si>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</si>
  <si>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</si>
  <si>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</si>
  <si>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</si>
  <si>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</si>
  <si>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</si>
  <si>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</si>
  <si>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</si>
  <si>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</si>
  <si>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</si>
  <si>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</si>
  <si>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</si>
  <si>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</si>
  <si>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</si>
  <si>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</si>
  <si>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</si>
  <si>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</si>
  <si>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</si>
  <si>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</si>
  <si>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</si>
  <si>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</si>
  <si>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</si>
  <si>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</si>
  <si>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</si>
  <si>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</si>
  <si>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</si>
  <si>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</si>
  <si>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</si>
  <si>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</si>
  <si>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</si>
  <si>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</si>
  <si>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</si>
  <si>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</si>
  <si>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</si>
  <si>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</si>
  <si>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</si>
  <si>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</si>
  <si>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</si>
  <si>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</si>
  <si>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</si>
  <si>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</si>
  <si>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</si>
  <si>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</si>
  <si>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</si>
  <si>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</si>
  <si>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</si>
  <si>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</si>
  <si>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</si>
  <si>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</si>
  <si>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</si>
  <si>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</si>
  <si>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</si>
  <si>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</si>
  <si>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</si>
  <si>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</si>
  <si>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</si>
  <si>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</si>
  <si>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</si>
  <si>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</si>
  <si>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</si>
  <si>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</si>
  <si>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</si>
  <si>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</si>
  <si>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</si>
  <si>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</si>
  <si>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</si>
  <si>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</si>
  <si>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</si>
  <si>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</si>
  <si>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</si>
  <si>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</si>
  <si>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</si>
  <si>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</si>
  <si>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</si>
  <si>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</si>
  <si>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</si>
  <si>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</si>
  <si>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</si>
  <si>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</si>
  <si>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</si>
  <si>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</si>
  <si>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</si>
  <si>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</si>
  <si>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</si>
  <si>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</si>
  <si>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</si>
  <si>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</si>
  <si>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</si>
  <si>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</si>
  <si>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</si>
  <si>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</si>
  <si>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</si>
  <si>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</si>
  <si>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</si>
  <si>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</si>
  <si>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</si>
  <si>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</si>
  <si>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</si>
  <si>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</si>
  <si>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</si>
  <si>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</si>
  <si>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</si>
  <si>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</si>
  <si>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</si>
  <si>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</si>
  <si>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</si>
  <si>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</si>
  <si>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</si>
  <si>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</si>
  <si>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</si>
  <si>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</si>
  <si>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</si>
  <si>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</si>
  <si>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</si>
  <si>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</si>
  <si>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</si>
  <si>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</si>
  <si>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</si>
  <si>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</si>
  <si>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</si>
  <si>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</si>
  <si>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</si>
  <si>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</si>
  <si>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</si>
  <si>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</si>
  <si>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</si>
  <si>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</si>
  <si>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</si>
  <si>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</si>
  <si>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</si>
  <si>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</si>
  <si>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</si>
  <si>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</si>
  <si>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</si>
  <si>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</si>
  <si>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</si>
  <si>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</si>
  <si>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</si>
  <si>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</si>
  <si>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</si>
  <si>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</si>
  <si>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</si>
  <si>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</si>
  <si>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</si>
  <si>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</si>
  <si>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</si>
  <si>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</si>
  <si>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</si>
  <si>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</si>
  <si>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</si>
  <si>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</si>
  <si>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</si>
  <si>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</si>
  <si>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</si>
  <si>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</si>
  <si>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</si>
  <si>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</si>
  <si>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</si>
  <si>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</si>
  <si>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</si>
  <si>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</si>
  <si>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</si>
  <si>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</si>
  <si>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</si>
  <si>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</si>
  <si>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</si>
  <si>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</si>
  <si>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</si>
  <si>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</si>
  <si>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</si>
  <si>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</si>
  <si>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</si>
  <si>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</si>
  <si>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</si>
  <si>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</si>
  <si>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</si>
  <si>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</si>
  <si>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</si>
  <si>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</si>
  <si>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</si>
  <si>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</si>
  <si>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</si>
  <si>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</si>
  <si>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</si>
  <si>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</si>
  <si>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</si>
  <si>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</si>
  <si>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</si>
  <si>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</si>
  <si>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</si>
  <si>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</si>
  <si>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</si>
  <si>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</si>
  <si>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</si>
  <si>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</si>
  <si>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</si>
  <si>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</si>
  <si>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</si>
  <si>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</si>
  <si>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</si>
  <si>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</si>
  <si>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</si>
  <si>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</si>
  <si>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</si>
  <si>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</si>
  <si>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</si>
  <si>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</si>
  <si>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</si>
  <si>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</si>
  <si>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</si>
  <si>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</si>
  <si>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</si>
  <si>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</si>
  <si>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</si>
  <si>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</si>
  <si>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</si>
  <si>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</si>
  <si>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</si>
  <si>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</si>
  <si>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</si>
  <si>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</si>
  <si>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</si>
  <si>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</si>
  <si>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</si>
  <si>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</si>
  <si>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</si>
  <si>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</si>
  <si>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</si>
  <si>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</si>
  <si>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</si>
  <si>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</si>
  <si>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</si>
  <si>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</si>
  <si>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</si>
  <si>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</si>
  <si>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</si>
  <si>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</si>
  <si>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</si>
  <si>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</si>
  <si>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</si>
  <si>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</si>
  <si>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</si>
  <si>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</si>
  <si>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</si>
  <si>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</si>
  <si>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</si>
  <si>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</si>
  <si>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</si>
  <si>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</si>
  <si>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</si>
  <si>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</si>
  <si>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</si>
  <si>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</si>
  <si>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</si>
  <si>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</si>
  <si>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</si>
  <si>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</si>
  <si>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</si>
  <si>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</si>
  <si>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</si>
  <si>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</si>
  <si>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</si>
  <si>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</si>
  <si>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</si>
  <si>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</si>
  <si>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</si>
  <si>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</si>
  <si>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</si>
  <si>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</si>
  <si>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</si>
  <si>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</si>
  <si>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</si>
  <si>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</si>
  <si>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</si>
  <si>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</si>
  <si>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</si>
  <si>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</si>
  <si>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</si>
  <si>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</si>
  <si>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</si>
  <si>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</si>
  <si>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</si>
  <si>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</si>
  <si>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</si>
  <si>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</si>
  <si>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</si>
  <si>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</si>
  <si>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</si>
  <si>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</si>
  <si>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</si>
  <si>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</si>
  <si>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</si>
  <si>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</si>
  <si>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</si>
  <si>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</si>
  <si>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</si>
  <si>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</si>
  <si>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</si>
  <si>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</si>
  <si>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</si>
  <si>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</si>
  <si>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</si>
  <si>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</si>
  <si>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</si>
  <si>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</si>
  <si>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</si>
  <si>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</si>
  <si>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</si>
  <si>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</si>
  <si>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</si>
  <si>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</si>
  <si>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</si>
  <si>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</si>
  <si>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</si>
  <si>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</si>
  <si>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</si>
  <si>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</si>
  <si>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</si>
  <si>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</si>
  <si>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</si>
  <si>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</si>
  <si>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</si>
  <si>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</si>
  <si>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</si>
  <si>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</si>
  <si>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</si>
  <si>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</si>
  <si>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</si>
  <si>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</si>
  <si>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</si>
  <si>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</si>
  <si>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</si>
  <si>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</si>
  <si>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</si>
  <si>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</si>
  <si>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</si>
  <si>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</si>
  <si>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</si>
  <si>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</si>
  <si>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</si>
  <si>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</si>
  <si>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</si>
  <si>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</si>
  <si>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</si>
  <si>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</si>
  <si>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</si>
  <si>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</si>
  <si>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</si>
  <si>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</si>
  <si>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</si>
  <si>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</si>
  <si>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</si>
  <si>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</si>
  <si>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</si>
  <si>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</si>
  <si>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</si>
  <si>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</si>
  <si>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</si>
  <si>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</si>
  <si>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</si>
  <si>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</si>
  <si>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</si>
  <si>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</si>
  <si>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</si>
  <si>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</si>
  <si>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</si>
  <si>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</si>
  <si>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</si>
  <si>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</si>
  <si>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</si>
  <si>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</si>
  <si>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</si>
  <si>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</si>
  <si>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</si>
  <si>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</si>
  <si>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</si>
  <si>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</si>
  <si>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</si>
  <si>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</si>
  <si>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</si>
  <si>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</si>
  <si>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</si>
  <si>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</si>
  <si>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</si>
  <si>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</si>
  <si>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</si>
  <si>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</si>
  <si>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</si>
  <si>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</si>
  <si>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</si>
  <si>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</si>
  <si>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</si>
  <si>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</si>
  <si>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</si>
  <si>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</si>
  <si>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</si>
  <si>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</si>
  <si>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</si>
  <si>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</si>
  <si>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</si>
  <si>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</si>
  <si>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</si>
  <si>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</si>
  <si>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</si>
  <si>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</si>
  <si>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</si>
  <si>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</si>
  <si>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</si>
  <si>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</si>
  <si>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</si>
  <si>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</si>
  <si>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</si>
  <si>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</si>
  <si>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</si>
  <si>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</si>
  <si>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</si>
  <si>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</si>
  <si>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</si>
  <si>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</si>
  <si>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</si>
  <si>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</si>
  <si>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</si>
  <si>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</si>
  <si>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</si>
  <si>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</si>
  <si>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</si>
  <si>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</si>
  <si>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</si>
  <si>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</si>
  <si>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</si>
  <si>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</si>
  <si>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</si>
  <si>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</si>
  <si>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</si>
  <si>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</si>
  <si>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</si>
  <si>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</si>
  <si>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</si>
  <si>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</si>
  <si>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</si>
  <si>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</si>
  <si>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</si>
  <si>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</si>
  <si>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</si>
  <si>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</si>
  <si>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</si>
  <si>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</si>
  <si>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</si>
  <si>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</si>
  <si>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</si>
  <si>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</si>
  <si>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</si>
  <si>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</si>
  <si>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</si>
  <si>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</si>
  <si>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</si>
  <si>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</si>
  <si>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</si>
  <si>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</si>
  <si>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</si>
  <si>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</si>
  <si>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</si>
  <si>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</si>
  <si>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</si>
  <si>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</si>
  <si>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</si>
  <si>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</si>
  <si>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</si>
  <si>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</si>
  <si>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</si>
  <si>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</si>
  <si>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</si>
  <si>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</si>
  <si>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</si>
  <si>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</si>
  <si>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</si>
  <si>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</si>
  <si>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</si>
  <si>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</si>
  <si>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</si>
  <si>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</si>
  <si>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</si>
  <si>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</si>
  <si>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</si>
  <si>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</si>
  <si>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</si>
  <si>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</si>
  <si>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</si>
  <si>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</si>
  <si>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</si>
  <si>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</si>
  <si>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</si>
  <si>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</si>
  <si>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</si>
  <si>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</si>
  <si>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</si>
  <si>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</si>
  <si>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</si>
  <si>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</si>
  <si>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</si>
  <si>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</si>
  <si>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</si>
  <si>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</si>
  <si>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</si>
  <si>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</si>
  <si>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</si>
  <si>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</si>
  <si>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</si>
  <si>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</si>
  <si>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</si>
  <si>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</si>
  <si>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</si>
  <si>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</si>
  <si>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</si>
  <si>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</si>
  <si>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</si>
  <si>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</si>
  <si>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</si>
  <si>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</si>
  <si>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</si>
  <si>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</si>
  <si>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</si>
  <si>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</si>
  <si>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</si>
  <si>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</si>
  <si>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</si>
  <si>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</si>
  <si>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</si>
  <si>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</si>
  <si>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</si>
  <si>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</si>
  <si>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</si>
  <si>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</si>
  <si>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</si>
  <si>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</si>
  <si>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</si>
  <si>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</si>
  <si>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</si>
  <si>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</si>
  <si>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</si>
  <si>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</si>
  <si>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</si>
  <si>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</si>
  <si>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</si>
  <si>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</si>
  <si>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</si>
  <si>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</si>
  <si>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</si>
  <si>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</si>
  <si>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</si>
  <si>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</si>
  <si>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</si>
  <si>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</si>
  <si>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</si>
  <si>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</si>
  <si>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</si>
  <si>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</si>
  <si>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</si>
  <si>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</si>
  <si>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</si>
  <si>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</si>
  <si>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</si>
  <si>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</si>
  <si>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</si>
  <si>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</si>
  <si>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</si>
  <si>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</si>
  <si>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</si>
  <si>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</si>
  <si>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</si>
  <si>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</si>
  <si>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</si>
  <si>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</si>
  <si>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</si>
  <si>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</si>
  <si>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</si>
  <si>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</si>
  <si>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</si>
  <si>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</si>
  <si>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</si>
  <si>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</si>
  <si>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</si>
  <si>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</si>
  <si>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</si>
  <si>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</si>
  <si>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</si>
  <si>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</si>
  <si>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</si>
  <si>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</si>
  <si>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</si>
  <si>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</si>
  <si>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</si>
  <si>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</si>
  <si>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</si>
  <si>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</si>
  <si>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</si>
  <si>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</si>
  <si>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</si>
  <si>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</si>
  <si>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</si>
  <si>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</si>
  <si>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</si>
  <si>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</si>
  <si>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</si>
  <si>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</si>
  <si>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</si>
  <si>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</si>
  <si>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</si>
  <si>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</si>
  <si>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</si>
  <si>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</si>
  <si>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</si>
  <si>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</si>
  <si>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</si>
  <si>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</si>
  <si>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</si>
  <si>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</si>
  <si>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</si>
  <si>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</si>
  <si>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</si>
  <si>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</si>
  <si>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</si>
  <si>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</si>
  <si>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</si>
  <si>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</si>
  <si>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</si>
  <si>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</si>
  <si>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</si>
  <si>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</si>
  <si>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</si>
  <si>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</si>
  <si>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</si>
  <si>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</si>
  <si>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</si>
  <si>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</si>
  <si>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</si>
  <si>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</si>
  <si>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</si>
  <si>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</si>
  <si>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</si>
  <si>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</si>
  <si>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</si>
  <si>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</si>
  <si>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</si>
  <si>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</si>
  <si>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</si>
  <si>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</si>
  <si>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</si>
  <si>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</si>
  <si>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</si>
  <si>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</si>
  <si>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</si>
  <si>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</si>
  <si>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</si>
  <si>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</si>
  <si>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</si>
  <si>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</si>
  <si>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</si>
  <si>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</si>
  <si>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</si>
  <si>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</si>
  <si>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</si>
  <si>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</si>
  <si>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</si>
  <si>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</si>
  <si>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</si>
  <si>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</si>
  <si>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</si>
  <si>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</si>
  <si>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</si>
  <si>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</si>
  <si>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</si>
  <si>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</si>
  <si>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</si>
  <si>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</si>
  <si>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</si>
  <si>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</si>
  <si>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</si>
  <si>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</si>
  <si>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</si>
  <si>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</si>
  <si>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</si>
  <si>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</si>
  <si>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</si>
  <si>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</si>
  <si>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</si>
  <si>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</si>
  <si>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</si>
  <si>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</si>
  <si>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</si>
  <si>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</si>
  <si>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</si>
  <si>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</si>
  <si>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</si>
  <si>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</si>
  <si>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</si>
  <si>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</si>
  <si>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</si>
  <si>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</si>
  <si>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</si>
  <si>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</si>
  <si>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</si>
  <si>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</si>
  <si>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</si>
  <si>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</si>
  <si>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</si>
  <si>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</si>
  <si>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</si>
  <si>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</si>
  <si>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</si>
  <si>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</si>
  <si>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</si>
  <si>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</si>
  <si>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</si>
  <si>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</si>
  <si>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</si>
  <si>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</si>
  <si>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</si>
  <si>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</si>
  <si>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</si>
  <si>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</si>
  <si>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</si>
  <si>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</si>
  <si>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</si>
  <si>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</si>
  <si>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</si>
  <si>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</si>
  <si>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</si>
  <si>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</si>
  <si>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</si>
  <si>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</si>
  <si>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</si>
  <si>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</si>
  <si>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</si>
  <si>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</si>
  <si>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</si>
  <si>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</si>
  <si>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</si>
  <si>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</si>
  <si>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</si>
  <si>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</si>
  <si>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</si>
  <si>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</si>
  <si>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</si>
  <si>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</si>
  <si>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</si>
  <si>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</si>
  <si>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</si>
  <si>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</si>
  <si>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</si>
  <si>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</si>
  <si>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</si>
  <si>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</si>
  <si>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</si>
  <si>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</si>
  <si>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</si>
  <si>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</si>
  <si>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</si>
  <si>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</si>
  <si>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</si>
  <si>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</si>
  <si>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</si>
  <si>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</si>
  <si>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</si>
  <si>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</si>
  <si>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</si>
  <si>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</si>
  <si>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</si>
  <si>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</si>
  <si>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</si>
  <si>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</si>
  <si>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</si>
  <si>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</si>
  <si>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</si>
  <si>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</si>
  <si>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</si>
  <si>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</si>
  <si>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</si>
  <si>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</si>
  <si>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</si>
  <si>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</si>
  <si>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</si>
  <si>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</si>
  <si>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</si>
  <si>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</si>
  <si>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</si>
  <si>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</si>
  <si>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</si>
  <si>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</si>
  <si>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</si>
  <si>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</si>
  <si>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</si>
  <si>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</si>
  <si>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</si>
  <si>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</si>
  <si>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</si>
  <si>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</si>
  <si>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</si>
  <si>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</si>
  <si>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</si>
  <si>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</si>
  <si>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</si>
  <si>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</si>
  <si>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</si>
  <si>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</si>
  <si>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</si>
  <si>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</si>
  <si>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</si>
  <si>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</si>
  <si>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</si>
  <si>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</si>
  <si>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</si>
  <si>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</si>
  <si>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</si>
  <si>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</si>
  <si>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</si>
  <si>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</si>
  <si>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</si>
  <si>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</si>
  <si>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</si>
  <si>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</si>
  <si>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</si>
  <si>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</si>
  <si>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</si>
  <si>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</si>
  <si>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</si>
  <si>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</si>
  <si>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</si>
  <si>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</si>
  <si>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</si>
  <si>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</si>
  <si>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</si>
  <si>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</si>
  <si>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</si>
  <si>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</si>
  <si>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</si>
  <si>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</si>
  <si>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</si>
  <si>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</si>
  <si>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</si>
  <si>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</si>
  <si>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</si>
  <si>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</si>
  <si>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</si>
  <si>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</si>
  <si>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</si>
  <si>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</si>
  <si>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</si>
  <si>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</si>
  <si>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</si>
  <si>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</si>
  <si>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</si>
  <si>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</si>
  <si>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</si>
  <si>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</si>
  <si>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</si>
  <si>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</si>
  <si>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</si>
  <si>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</si>
  <si>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</si>
  <si>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</si>
  <si>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</si>
  <si>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</si>
  <si>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</si>
  <si>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</si>
  <si>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</si>
  <si>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</si>
  <si>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</si>
  <si>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</si>
  <si>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</si>
  <si>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</si>
  <si>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</si>
  <si>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</si>
  <si>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</si>
  <si>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</si>
  <si>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</si>
  <si>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</si>
  <si>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</si>
  <si>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</si>
  <si>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</si>
  <si>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</si>
  <si>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</si>
  <si>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</si>
  <si>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</si>
  <si>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</si>
  <si>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</si>
  <si>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</si>
  <si>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</si>
  <si>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</si>
  <si>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</si>
  <si>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</si>
  <si>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</si>
  <si>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</si>
  <si>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</si>
  <si>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</si>
  <si>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</si>
  <si>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</si>
  <si>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</si>
  <si>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</si>
  <si>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</si>
  <si>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</si>
  <si>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</si>
  <si>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</si>
  <si>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</si>
  <si>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</si>
  <si>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</si>
  <si>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</si>
  <si>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</si>
  <si>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</si>
  <si>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</si>
  <si>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</si>
  <si>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</si>
  <si>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</si>
  <si>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</si>
  <si>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</si>
  <si>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</si>
  <si>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</si>
  <si>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</si>
  <si>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</si>
  <si>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</si>
  <si>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</si>
  <si>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</si>
  <si>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</si>
  <si>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</si>
  <si>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</si>
  <si>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</si>
  <si>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</si>
  <si>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</si>
  <si>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</si>
  <si>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</si>
  <si>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</si>
  <si>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</si>
  <si>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</si>
  <si>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</si>
  <si>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</si>
  <si>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</si>
  <si>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</si>
  <si>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</si>
  <si>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</si>
  <si>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</si>
  <si>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</si>
  <si>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</si>
  <si>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</si>
  <si>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</si>
  <si>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</si>
  <si>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</si>
  <si>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</si>
  <si>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</si>
  <si>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</si>
  <si>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</si>
  <si>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</si>
  <si>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</si>
  <si>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</si>
  <si>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</si>
  <si>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</si>
  <si>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</si>
  <si>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</si>
  <si>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</si>
  <si>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</si>
  <si>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</si>
  <si>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</si>
  <si>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</si>
  <si>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</si>
  <si>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</si>
  <si>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</si>
  <si>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</si>
  <si>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</si>
  <si>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</si>
  <si>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</si>
  <si>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</si>
  <si>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</si>
  <si>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</si>
  <si>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</si>
  <si>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</si>
  <si>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</si>
  <si>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</si>
  <si>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</si>
  <si>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</si>
  <si>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</si>
  <si>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</si>
  <si>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</si>
  <si>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</si>
  <si>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</si>
  <si>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</si>
  <si>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</si>
  <si>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</si>
  <si>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</si>
  <si>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</si>
  <si>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</si>
  <si>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</si>
  <si>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</si>
  <si>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</si>
  <si>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</si>
  <si>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</si>
  <si>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</si>
  <si>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</si>
  <si>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</si>
  <si>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</si>
  <si>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</si>
  <si>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</si>
  <si>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</si>
  <si>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</si>
  <si>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</si>
  <si>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</si>
  <si>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</si>
  <si>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</si>
  <si>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</si>
  <si>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</si>
  <si>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</si>
  <si>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</si>
  <si>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</si>
  <si>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</si>
  <si>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</si>
  <si>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</si>
  <si>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</si>
  <si>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</si>
  <si>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</si>
  <si>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</si>
  <si>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</si>
  <si>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</si>
  <si>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</si>
  <si>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</si>
  <si>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</si>
  <si>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</si>
  <si>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</si>
  <si>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</si>
  <si>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</si>
  <si>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</si>
  <si>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</si>
  <si>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</si>
  <si>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</si>
  <si>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</si>
  <si>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</si>
  <si>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</si>
  <si>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</si>
  <si>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</si>
  <si>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</si>
  <si>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</si>
  <si>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</si>
  <si>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</si>
  <si>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</si>
  <si>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</si>
  <si>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</si>
  <si>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</si>
  <si>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</si>
  <si>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</si>
  <si>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</si>
  <si>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</si>
  <si>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</si>
  <si>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</si>
  <si>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</si>
  <si>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</si>
  <si>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</si>
  <si>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</si>
  <si>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</si>
  <si>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</si>
  <si>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</si>
  <si>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</si>
  <si>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</si>
  <si>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</si>
  <si>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</si>
  <si>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</si>
  <si>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</si>
  <si>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</si>
  <si>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</si>
  <si>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</si>
  <si>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</si>
  <si>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</si>
  <si>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</si>
  <si>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</si>
  <si>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</si>
  <si>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</si>
  <si>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</si>
  <si>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</si>
  <si>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</si>
  <si>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</si>
  <si>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</si>
  <si>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</si>
  <si>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</si>
  <si>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</si>
  <si>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</si>
  <si>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</si>
  <si>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</si>
  <si>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</si>
  <si>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</si>
  <si>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</si>
  <si>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</si>
  <si>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</si>
  <si>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</si>
  <si>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</si>
  <si>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</si>
  <si>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</si>
  <si>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</si>
  <si>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</si>
  <si>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</si>
  <si>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</si>
  <si>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</si>
  <si>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</si>
  <si>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</si>
  <si>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</si>
  <si>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</si>
  <si>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</si>
  <si>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</si>
  <si>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</si>
  <si>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</si>
  <si>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</si>
  <si>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</si>
  <si>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</si>
  <si>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</si>
  <si>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</si>
  <si>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</si>
  <si>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</si>
  <si>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</si>
  <si>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</si>
  <si>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</si>
  <si>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</si>
  <si>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</si>
  <si>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</si>
  <si>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</si>
  <si>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</si>
  <si>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</si>
  <si>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</si>
  <si>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</si>
  <si>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</si>
  <si>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</si>
  <si>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</si>
  <si>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</si>
  <si>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</si>
  <si>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</si>
  <si>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</si>
  <si>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</si>
  <si>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</si>
  <si>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</si>
  <si>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</si>
  <si>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</si>
  <si>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</si>
  <si>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</si>
  <si>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</si>
  <si>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</si>
  <si>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</si>
  <si>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</si>
  <si>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</si>
  <si>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</si>
  <si>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</si>
  <si>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</si>
  <si>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</si>
  <si>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</si>
  <si>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</si>
  <si>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</si>
  <si>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</si>
  <si>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</si>
  <si>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</si>
  <si>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</si>
  <si>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</si>
  <si>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</si>
  <si>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</si>
  <si>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</si>
  <si>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</si>
  <si>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</si>
  <si>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</si>
  <si>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</si>
  <si>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</si>
  <si>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</si>
  <si>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</si>
  <si>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</si>
  <si>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</si>
  <si>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</si>
  <si>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</si>
  <si>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</si>
  <si>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</si>
  <si>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</si>
  <si>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</si>
  <si>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</si>
  <si>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</si>
  <si>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</si>
  <si>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</si>
  <si>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</si>
  <si>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</si>
  <si>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</si>
  <si>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</si>
  <si>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</si>
  <si>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</si>
  <si>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</si>
  <si>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</si>
  <si>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</si>
  <si>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</si>
  <si>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</si>
  <si>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</si>
  <si>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</si>
  <si>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</si>
  <si>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</si>
  <si>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</si>
  <si>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</si>
  <si>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</si>
  <si>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</si>
  <si>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</si>
  <si>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</si>
  <si>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</si>
  <si>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</si>
  <si>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</si>
  <si>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</si>
  <si>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</si>
  <si>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</si>
  <si>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</si>
  <si>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</si>
  <si>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</si>
  <si>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</si>
  <si>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</si>
  <si>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</si>
  <si>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</si>
  <si>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</si>
  <si>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</si>
  <si>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</si>
  <si>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</si>
  <si>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</si>
  <si>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</si>
  <si>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</si>
  <si>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</si>
  <si>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</si>
  <si>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</si>
  <si>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</si>
  <si>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</si>
  <si>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</si>
  <si>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</si>
  <si>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</si>
  <si>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</si>
  <si>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</si>
  <si>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</si>
  <si>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</si>
  <si>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</si>
  <si>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</si>
  <si>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</si>
  <si>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</si>
  <si>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</si>
  <si>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</si>
  <si>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</si>
  <si>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</si>
  <si>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</si>
  <si>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</si>
  <si>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</si>
  <si>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</si>
  <si>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</si>
  <si>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</si>
  <si>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</si>
  <si>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</si>
  <si>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</si>
  <si>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</si>
  <si>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</si>
  <si>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</si>
  <si>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</si>
  <si>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</si>
  <si>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</si>
  <si>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</si>
  <si>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</si>
  <si>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</si>
  <si>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</si>
  <si>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</si>
  <si>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</si>
  <si>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</si>
  <si>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</si>
  <si>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</si>
  <si>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</si>
  <si>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</si>
  <si>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</si>
  <si>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</si>
  <si>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</si>
  <si>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</si>
  <si>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</si>
  <si>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</si>
  <si>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</si>
  <si>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</si>
  <si>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</si>
  <si>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</si>
  <si>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</si>
  <si>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</si>
  <si>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</si>
  <si>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</si>
  <si>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</si>
  <si>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</si>
  <si>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</si>
  <si>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</si>
  <si>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</si>
  <si>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</si>
  <si>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</si>
  <si>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</si>
  <si>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</si>
  <si>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</si>
  <si>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</si>
  <si>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</si>
  <si>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</si>
  <si>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</si>
  <si>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</si>
  <si>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</si>
  <si>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</si>
  <si>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</si>
  <si>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</si>
  <si>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</si>
  <si>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</si>
  <si>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</si>
  <si>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</si>
  <si>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</si>
  <si>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</si>
  <si>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</si>
  <si>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</si>
  <si>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</si>
  <si>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</si>
  <si>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</si>
  <si>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</si>
  <si>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</si>
  <si>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</si>
  <si>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</si>
  <si>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</si>
  <si>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</si>
  <si>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</si>
  <si>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</si>
  <si>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</si>
  <si>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</si>
  <si>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</si>
  <si>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</si>
  <si>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</si>
  <si>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</si>
  <si>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</si>
  <si>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</si>
  <si>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</si>
  <si>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</si>
  <si>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</si>
  <si>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</si>
  <si>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</si>
  <si>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</si>
  <si>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</si>
  <si>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</si>
  <si>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</si>
  <si>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</si>
  <si>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</si>
  <si>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</si>
  <si>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</si>
  <si>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</si>
  <si>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</si>
  <si>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</si>
  <si>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</si>
  <si>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</si>
  <si>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</si>
  <si>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</si>
  <si>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</si>
  <si>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</si>
  <si>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</si>
  <si>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</si>
  <si>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</si>
  <si>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</si>
  <si>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</si>
  <si>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</si>
  <si>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</si>
  <si>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</si>
  <si>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</si>
  <si>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</si>
  <si>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</si>
  <si>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</si>
  <si>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</si>
  <si>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</si>
  <si>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</si>
  <si>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</si>
  <si>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</si>
  <si>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</si>
  <si>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</si>
  <si>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</si>
  <si>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</si>
  <si>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</si>
  <si>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</si>
  <si>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</si>
  <si>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</si>
  <si>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</si>
  <si>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</si>
  <si>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</si>
  <si>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</si>
  <si>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</si>
  <si>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</si>
  <si>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</si>
  <si>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</si>
  <si>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</si>
  <si>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</si>
  <si>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</si>
  <si>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</si>
  <si>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</si>
  <si>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</si>
  <si>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</si>
  <si>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</si>
  <si>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</si>
  <si>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</si>
  <si>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</si>
  <si>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</si>
  <si>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</si>
  <si>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</si>
  <si>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</si>
  <si>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</si>
  <si>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</si>
  <si>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</si>
  <si>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</si>
  <si>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</si>
  <si>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</si>
  <si>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</si>
  <si>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</si>
  <si>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</si>
  <si>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</si>
  <si>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</si>
  <si>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</si>
  <si>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</si>
  <si>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</si>
  <si>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</si>
  <si>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</si>
  <si>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</si>
  <si>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</si>
  <si>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</si>
  <si>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</si>
  <si>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</si>
  <si>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</si>
  <si>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</si>
  <si>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</si>
  <si>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</si>
  <si>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</si>
  <si>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</si>
  <si>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</si>
  <si>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</si>
  <si>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</si>
  <si>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</si>
  <si>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</si>
  <si>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</si>
  <si>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</si>
  <si>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</si>
  <si>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</si>
  <si>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</si>
  <si>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</si>
  <si>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</si>
  <si>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</si>
  <si>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</si>
  <si>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</si>
  <si>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</si>
  <si>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</si>
  <si>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</si>
  <si>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</si>
  <si>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</si>
  <si>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</si>
  <si>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</si>
  <si>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</si>
  <si>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</si>
  <si>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</si>
  <si>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</si>
  <si>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</si>
  <si>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</si>
  <si>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</si>
  <si>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</si>
  <si>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</si>
  <si>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</si>
  <si>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</si>
  <si>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</si>
  <si>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</si>
  <si>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</si>
  <si>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</si>
  <si>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</si>
  <si>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</si>
  <si>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</si>
  <si>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</si>
  <si>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</si>
  <si>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</si>
  <si>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</si>
  <si>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</si>
  <si>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</si>
  <si>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</si>
  <si>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</si>
  <si>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</si>
  <si>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</si>
  <si>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</si>
  <si>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</si>
  <si>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</si>
  <si>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</si>
  <si>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</si>
  <si>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</si>
  <si>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</si>
  <si>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</si>
  <si>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</si>
  <si>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</si>
  <si>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</si>
  <si>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</si>
  <si>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</si>
  <si>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</si>
  <si>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</si>
  <si>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</si>
  <si>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</si>
  <si>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</si>
  <si>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</si>
  <si>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</si>
  <si>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</si>
  <si>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</si>
  <si>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</si>
  <si>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</si>
  <si>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</si>
  <si>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</si>
  <si>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</si>
  <si>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</si>
  <si>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</si>
  <si>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</si>
  <si>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</si>
  <si>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</si>
  <si>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</si>
  <si>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</si>
  <si>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</si>
  <si>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</si>
  <si>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</si>
  <si>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</si>
  <si>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</si>
  <si>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</si>
  <si>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</si>
  <si>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</si>
  <si>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</si>
  <si>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</si>
  <si>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</si>
  <si>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</si>
  <si>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</si>
  <si>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</si>
  <si>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</si>
  <si>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</si>
  <si>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</si>
  <si>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</si>
  <si>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</si>
  <si>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</si>
  <si>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</si>
  <si>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</si>
  <si>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</si>
  <si>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</si>
  <si>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</si>
  <si>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</si>
  <si>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</si>
  <si>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</si>
  <si>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</si>
  <si>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</si>
  <si>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</si>
  <si>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</si>
  <si>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</si>
  <si>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</si>
  <si>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</si>
  <si>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</si>
  <si>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</si>
  <si>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</si>
  <si>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</si>
  <si>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</si>
  <si>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</si>
  <si>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</si>
  <si>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</si>
  <si>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</si>
  <si>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</si>
  <si>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</si>
  <si>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</si>
  <si>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</si>
  <si>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</si>
  <si>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</si>
  <si>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</si>
  <si>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</si>
  <si>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</si>
  <si>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</si>
  <si>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</si>
  <si>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</si>
  <si>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</si>
  <si>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</si>
  <si>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</si>
  <si>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</si>
  <si>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</si>
  <si>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</si>
  <si>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</si>
  <si>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</si>
  <si>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</si>
  <si>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</si>
  <si>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</si>
  <si>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</si>
  <si>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</si>
  <si>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</si>
  <si>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</si>
  <si>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</si>
  <si>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</si>
  <si>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</si>
  <si>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</si>
  <si>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</si>
  <si>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</si>
  <si>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</si>
  <si>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</si>
  <si>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</si>
  <si>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</si>
  <si>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</si>
  <si>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</si>
  <si>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</si>
  <si>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</si>
  <si>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</si>
  <si>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</si>
  <si>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</si>
  <si>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</si>
  <si>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</si>
  <si>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</si>
  <si>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</si>
  <si>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</si>
  <si>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</si>
  <si>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</si>
  <si>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</si>
  <si>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</si>
  <si>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</si>
  <si>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</si>
  <si>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</si>
  <si>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</si>
  <si>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</si>
  <si>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</si>
  <si>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</si>
  <si>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</si>
  <si>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</si>
  <si>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</si>
  <si>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</si>
  <si>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</si>
  <si>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</si>
  <si>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</si>
  <si>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</si>
  <si>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</si>
  <si>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</si>
  <si>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</si>
  <si>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</si>
  <si>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</si>
  <si>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</si>
  <si>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</si>
  <si>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</si>
  <si>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</si>
  <si>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</si>
  <si>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</si>
  <si>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</si>
  <si>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</si>
  <si>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</si>
  <si>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</si>
  <si>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</si>
  <si>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</si>
  <si>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</si>
  <si>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</si>
  <si>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</si>
  <si>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</si>
  <si>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</si>
  <si>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</si>
  <si>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</si>
  <si>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</si>
  <si>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</si>
  <si>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</si>
  <si>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</si>
  <si>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</si>
  <si>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</si>
  <si>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</si>
  <si>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</si>
  <si>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</si>
  <si>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</si>
  <si>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</si>
  <si>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</si>
  <si>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</si>
  <si>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</si>
  <si>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</si>
  <si>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</si>
  <si>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</si>
  <si>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</si>
  <si>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</si>
  <si>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</si>
  <si>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</si>
  <si>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</si>
  <si>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</si>
  <si>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</si>
  <si>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</si>
  <si>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</si>
  <si>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</si>
  <si>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</si>
  <si>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</si>
  <si>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</si>
  <si>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</si>
  <si>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</si>
  <si>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</si>
  <si>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</si>
  <si>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</si>
  <si>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</si>
  <si>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</si>
  <si>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</si>
  <si>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</si>
  <si>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</si>
  <si>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</si>
  <si>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</si>
  <si>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</si>
  <si>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</si>
  <si>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</si>
  <si>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</si>
  <si>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</si>
  <si>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</si>
  <si>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</si>
  <si>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</si>
  <si>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</si>
  <si>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</si>
  <si>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</si>
  <si>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</si>
  <si>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</si>
  <si>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</si>
  <si>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</si>
  <si>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</si>
  <si>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</si>
  <si>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</si>
  <si>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</si>
  <si>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</si>
  <si>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</si>
  <si>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</si>
  <si>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</si>
  <si>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</si>
  <si>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</si>
  <si>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</si>
  <si>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</si>
  <si>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</si>
  <si>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</si>
  <si>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</si>
  <si>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</si>
  <si>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</si>
  <si>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</si>
  <si>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</si>
  <si>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</si>
  <si>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</si>
  <si>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</si>
  <si>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</si>
  <si>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</si>
  <si>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</si>
  <si>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</si>
  <si>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</si>
  <si>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</si>
  <si>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</si>
  <si>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</si>
  <si>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</si>
  <si>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</si>
  <si>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</si>
  <si>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</si>
  <si>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</si>
  <si>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</si>
  <si>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</si>
  <si>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</si>
  <si>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</si>
  <si>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</si>
  <si>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</si>
  <si>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</si>
  <si>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</si>
  <si>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</si>
  <si>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</si>
  <si>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</si>
  <si>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</si>
  <si>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</si>
  <si>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</si>
  <si>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</si>
  <si>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</si>
  <si>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</si>
  <si>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</si>
  <si>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</si>
  <si>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</si>
  <si>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</si>
  <si>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</si>
  <si>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</si>
  <si>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</si>
  <si>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</si>
  <si>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</si>
  <si>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</si>
  <si>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</si>
  <si>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</si>
  <si>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</si>
  <si>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</si>
  <si>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</si>
  <si>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</si>
  <si>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</si>
  <si>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</si>
  <si>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</si>
  <si>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</si>
  <si>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</si>
  <si>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</si>
  <si>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</si>
  <si>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</si>
  <si>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</si>
  <si>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</si>
  <si>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</si>
  <si>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</si>
  <si>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</si>
  <si>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</si>
  <si>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</si>
  <si>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</si>
  <si>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</si>
  <si>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</si>
  <si>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</si>
  <si>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</si>
  <si>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</si>
  <si>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</si>
  <si>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</si>
  <si>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</si>
  <si>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</si>
  <si>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</si>
  <si>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</si>
  <si>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</si>
  <si>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</si>
  <si>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</si>
  <si>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</si>
  <si>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</si>
  <si>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</si>
  <si>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</si>
  <si>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</si>
  <si>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</si>
  <si>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</si>
  <si>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</si>
  <si>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</si>
  <si>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</si>
  <si>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</si>
  <si>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</si>
  <si>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</si>
  <si>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</si>
  <si>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</si>
  <si>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</si>
  <si>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</si>
  <si>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</si>
  <si>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</si>
  <si>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</si>
  <si>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</si>
  <si>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</si>
  <si>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</si>
  <si>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</si>
  <si>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</si>
  <si>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</si>
  <si>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</si>
  <si>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</si>
  <si>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</si>
  <si>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</si>
  <si>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</si>
  <si>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</si>
  <si>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</si>
  <si>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</si>
  <si>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</si>
  <si>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</si>
  <si>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</si>
  <si>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</si>
  <si>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</si>
  <si>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</si>
  <si>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</si>
  <si>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</si>
  <si>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</si>
  <si>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</si>
  <si>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</si>
  <si>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</si>
  <si>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</si>
  <si>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</si>
  <si>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</si>
  <si>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</si>
  <si>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</si>
  <si>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</si>
  <si>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</si>
  <si>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</si>
  <si>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</si>
  <si>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</si>
  <si>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</si>
  <si>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</si>
  <si>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</si>
  <si>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</si>
  <si>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</si>
  <si>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</si>
  <si>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</si>
  <si>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</si>
  <si>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</si>
  <si>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</si>
  <si>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</si>
  <si>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</si>
  <si>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</si>
  <si>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</si>
  <si>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</si>
  <si>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</si>
  <si>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</si>
  <si>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</si>
  <si>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</si>
  <si>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</si>
  <si>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</si>
  <si>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</si>
  <si>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</si>
  <si>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</si>
  <si>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</si>
  <si>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</si>
  <si>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</si>
  <si>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</si>
  <si>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</si>
  <si>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</si>
  <si>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</si>
  <si>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</si>
  <si>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</si>
  <si>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</si>
  <si>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</si>
  <si>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</si>
  <si>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</si>
  <si>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</si>
  <si>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</si>
  <si>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</si>
  <si>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</si>
  <si>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</si>
  <si>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</si>
  <si>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</si>
  <si>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</si>
  <si>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</si>
  <si>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</si>
  <si>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</si>
  <si>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</si>
  <si>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</si>
  <si>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</si>
  <si>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</si>
  <si>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</si>
  <si>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</si>
  <si>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</si>
  <si>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</si>
  <si>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</si>
  <si>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</si>
  <si>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</si>
  <si>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</si>
  <si>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</si>
  <si>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</si>
  <si>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</si>
  <si>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</si>
  <si>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</si>
  <si>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</si>
  <si>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</si>
  <si>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</si>
  <si>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</si>
  <si>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</si>
  <si>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</si>
  <si>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</si>
  <si>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</si>
  <si>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</si>
  <si>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</si>
  <si>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</si>
  <si>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</si>
  <si>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</si>
  <si>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</si>
  <si>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</si>
  <si>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</si>
  <si>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</si>
  <si>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</si>
  <si>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</si>
  <si>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</si>
  <si>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</si>
  <si>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</si>
  <si>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</si>
  <si>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</si>
  <si>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</si>
  <si>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</si>
  <si>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</si>
  <si>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</si>
  <si>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</si>
  <si>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</si>
  <si>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</si>
  <si>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</si>
  <si>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</si>
  <si>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</si>
  <si>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</si>
  <si>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</si>
  <si>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</si>
  <si>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</si>
  <si>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</si>
  <si>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</si>
  <si>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</si>
  <si>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</si>
  <si>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</si>
  <si>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</si>
  <si>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</si>
  <si>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</si>
  <si>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</si>
  <si>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</si>
  <si>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</si>
  <si>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</si>
  <si>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</si>
  <si>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</si>
  <si>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</si>
  <si>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</si>
  <si>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</si>
  <si>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</si>
  <si>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</si>
  <si>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</si>
  <si>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</si>
  <si>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</si>
  <si>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</si>
  <si>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</si>
  <si>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</si>
  <si>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</si>
  <si>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</si>
  <si>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</si>
  <si>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</si>
  <si>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</si>
  <si>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</si>
  <si>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</si>
  <si>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</si>
  <si>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</si>
  <si>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</si>
  <si>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</si>
  <si>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</si>
  <si>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</si>
  <si>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</si>
  <si>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</si>
  <si>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</si>
  <si>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</si>
  <si>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</si>
  <si>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</si>
  <si>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</si>
  <si>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</si>
  <si>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</si>
  <si>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</si>
  <si>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</si>
  <si>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</si>
  <si>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</si>
  <si>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</si>
  <si>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</si>
  <si>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</si>
  <si>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</si>
  <si>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</si>
  <si>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</si>
  <si>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</si>
  <si>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</si>
  <si>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</si>
  <si>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</si>
  <si>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</si>
  <si>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</si>
  <si>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</si>
  <si>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</si>
  <si>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</si>
  <si>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</si>
  <si>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</si>
  <si>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</si>
  <si>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</si>
  <si>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</si>
  <si>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</si>
  <si>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</si>
  <si>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</si>
  <si>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</si>
  <si>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</si>
  <si>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</si>
  <si>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</si>
  <si>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</si>
  <si>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</si>
  <si>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</si>
  <si>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</si>
  <si>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</si>
  <si>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</si>
  <si>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</si>
  <si>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</si>
  <si>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</si>
  <si>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</si>
  <si>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</si>
  <si>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</si>
  <si>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</si>
  <si>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</si>
  <si>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</si>
  <si>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</si>
  <si>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</si>
  <si>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</si>
  <si>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</si>
  <si>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</si>
  <si>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</si>
  <si>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</si>
  <si>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</si>
  <si>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</si>
  <si>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</si>
  <si>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</si>
  <si>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</si>
  <si>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</si>
  <si>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</si>
  <si>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</si>
  <si>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</si>
  <si>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</si>
  <si>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</si>
  <si>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</si>
  <si>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</si>
  <si>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</si>
  <si>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</si>
  <si>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</si>
  <si>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</si>
  <si>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</si>
  <si>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</si>
  <si>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</si>
  <si>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</si>
  <si>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</si>
  <si>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</si>
  <si>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</si>
  <si>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</si>
  <si>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</si>
  <si>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</si>
  <si>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</si>
  <si>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</si>
  <si>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</si>
  <si>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</si>
  <si>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</si>
  <si>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</si>
  <si>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</si>
  <si>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</si>
  <si>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</si>
  <si>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</si>
  <si>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</si>
  <si>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</si>
  <si>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</si>
  <si>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</si>
  <si>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</si>
  <si>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</si>
  <si>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</si>
  <si>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</si>
  <si>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</si>
  <si>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</si>
  <si>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</si>
  <si>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</si>
  <si>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</si>
  <si>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</si>
  <si>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</si>
  <si>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</si>
  <si>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</si>
  <si>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</si>
  <si>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</si>
  <si>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</si>
  <si>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</si>
  <si>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</si>
  <si>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</si>
  <si>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</si>
  <si>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</si>
  <si>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</si>
  <si>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</si>
  <si>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</si>
  <si>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</si>
  <si>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</si>
  <si>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</si>
  <si>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</si>
  <si>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</si>
  <si>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</si>
  <si>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</si>
  <si>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</si>
  <si>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</si>
  <si>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</si>
  <si>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</si>
  <si>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</si>
  <si>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</si>
  <si>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</si>
  <si>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</si>
  <si>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</si>
  <si>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</si>
  <si>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</si>
  <si>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</si>
  <si>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</si>
  <si>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</si>
  <si>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</si>
  <si>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</si>
  <si>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</si>
  <si>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</si>
  <si>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</si>
  <si>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</si>
  <si>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</si>
  <si>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</si>
  <si>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</si>
  <si>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</si>
  <si>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</si>
  <si>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</si>
  <si>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</si>
  <si>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</si>
  <si>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</si>
  <si>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</si>
  <si>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</si>
  <si>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</si>
  <si>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</si>
  <si>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</si>
  <si>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</si>
  <si>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</si>
  <si>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</si>
  <si>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</si>
  <si>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</si>
  <si>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</si>
  <si>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</si>
  <si>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</si>
  <si>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</si>
  <si>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</si>
  <si>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</si>
  <si>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</si>
  <si>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</si>
  <si>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</si>
  <si>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</si>
  <si>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</si>
  <si>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</si>
  <si>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</si>
  <si>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</si>
  <si>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</si>
  <si>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</si>
  <si>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</si>
  <si>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</si>
  <si>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</si>
  <si>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</si>
  <si>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</si>
  <si>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</si>
  <si>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</si>
  <si>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</si>
  <si>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</si>
  <si>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</si>
  <si>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</si>
  <si>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</si>
  <si>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</si>
  <si>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</si>
  <si>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</si>
  <si>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</si>
  <si>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</si>
  <si>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</si>
  <si>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</si>
  <si>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</si>
  <si>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</si>
  <si>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</si>
  <si>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</si>
  <si>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</si>
  <si>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</si>
  <si>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</si>
  <si>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</si>
  <si>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</si>
  <si>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</si>
  <si>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</si>
  <si>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</si>
  <si>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</si>
  <si>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</si>
  <si>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</si>
  <si>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</si>
  <si>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</si>
  <si>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</si>
  <si>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</si>
  <si>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</si>
  <si>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</si>
  <si>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</si>
  <si>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</si>
  <si>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</si>
  <si>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</si>
  <si>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</si>
  <si>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</si>
  <si>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</si>
  <si>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</si>
  <si>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</si>
  <si>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</si>
  <si>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</si>
  <si>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</si>
  <si>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</si>
  <si>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</si>
  <si>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</si>
  <si>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</si>
  <si>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</si>
  <si>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</si>
  <si>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</si>
  <si>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</si>
  <si>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</si>
  <si>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</si>
  <si>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</si>
  <si>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</si>
  <si>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</si>
  <si>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</si>
  <si>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</si>
  <si>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</si>
  <si>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</si>
  <si>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</si>
  <si>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</si>
  <si>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</si>
  <si>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</si>
  <si>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</si>
  <si>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</si>
  <si>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</si>
  <si>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</si>
  <si>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</si>
  <si>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</si>
  <si>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</si>
  <si>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</si>
  <si>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</si>
  <si>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</si>
  <si>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</si>
  <si>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</si>
  <si>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</si>
  <si>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</si>
  <si>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</si>
  <si>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</si>
  <si>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</si>
  <si>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</si>
  <si>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</si>
  <si>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</si>
  <si>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</si>
  <si>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</si>
  <si>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</si>
  <si>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</si>
  <si>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</si>
  <si>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</si>
  <si>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</si>
  <si>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</si>
  <si>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</si>
  <si>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</si>
  <si>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</si>
  <si>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</si>
  <si>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</si>
  <si>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</si>
  <si>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</si>
  <si>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</si>
  <si>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</si>
  <si>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</si>
  <si>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</si>
  <si>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</si>
  <si>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</si>
  <si>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</si>
  <si>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</si>
  <si>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</si>
  <si>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</si>
  <si>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</si>
  <si>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</si>
  <si>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</si>
  <si>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</si>
  <si>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</si>
  <si>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</si>
  <si>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</si>
  <si>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</si>
  <si>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</si>
  <si>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</si>
  <si>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</si>
  <si>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</si>
  <si>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</si>
  <si>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</si>
  <si>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</si>
  <si>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</si>
  <si>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</si>
  <si>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</si>
  <si>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</si>
  <si>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</si>
  <si>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</si>
  <si>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</si>
  <si>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</si>
  <si>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</si>
  <si>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</si>
  <si>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</si>
  <si>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</si>
  <si>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</si>
  <si>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</si>
  <si>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</si>
  <si>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</si>
  <si>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</si>
  <si>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</si>
  <si>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</si>
  <si>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</si>
  <si>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</si>
  <si>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</si>
  <si>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</si>
  <si>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</si>
  <si>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</si>
  <si>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</si>
  <si>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</si>
  <si>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</si>
  <si>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</si>
  <si>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</si>
  <si>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</si>
  <si>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</si>
  <si>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</si>
  <si>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</si>
  <si>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</si>
  <si>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</si>
  <si>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</si>
  <si>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</si>
  <si>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</si>
  <si>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</si>
  <si>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</si>
  <si>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</si>
  <si>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</si>
  <si>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</si>
  <si>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</si>
  <si>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</si>
  <si>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</si>
  <si>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</si>
  <si>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</si>
  <si>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</si>
  <si>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</si>
  <si>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</si>
  <si>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</si>
  <si>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</si>
  <si>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</si>
  <si>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</si>
  <si>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</si>
  <si>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</si>
  <si>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</si>
  <si>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</si>
  <si>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</si>
  <si>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</si>
  <si>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</si>
  <si>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</si>
  <si>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</si>
  <si>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</si>
  <si>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</si>
  <si>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</si>
  <si>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</si>
  <si>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</si>
  <si>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</si>
  <si>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</si>
  <si>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</si>
  <si>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</si>
  <si>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</si>
  <si>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</si>
  <si>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</si>
  <si>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</si>
  <si>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</si>
  <si>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</si>
  <si>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</si>
  <si>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</si>
  <si>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</si>
  <si>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</si>
  <si>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</si>
  <si>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</si>
  <si>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</si>
  <si>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</si>
  <si>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</si>
  <si>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</si>
  <si>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</si>
  <si>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</si>
  <si>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</si>
  <si>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</si>
  <si>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</si>
  <si>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</si>
  <si>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</si>
  <si>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</si>
  <si>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</si>
  <si>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</si>
  <si>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</si>
  <si>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</si>
  <si>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</si>
  <si>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</si>
  <si>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</si>
  <si>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</si>
  <si>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</si>
  <si>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</si>
  <si>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</si>
  <si>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</si>
  <si>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</si>
  <si>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</si>
  <si>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</si>
  <si>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</si>
  <si>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</si>
  <si>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</si>
  <si>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</si>
  <si>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</si>
  <si>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</si>
  <si>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</si>
  <si>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</si>
  <si>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</si>
  <si>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</si>
  <si>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</si>
  <si>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</si>
  <si>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</si>
  <si>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</si>
  <si>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</si>
  <si>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</si>
  <si>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</si>
  <si>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</si>
  <si>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</si>
  <si>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</si>
  <si>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</si>
  <si>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</si>
  <si>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</si>
  <si>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</si>
  <si>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</si>
  <si>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</si>
  <si>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</si>
  <si>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</si>
  <si>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</si>
  <si>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</si>
  <si>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</si>
  <si>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</si>
  <si>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</si>
  <si>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</si>
  <si>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</si>
  <si>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</si>
  <si>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</si>
  <si>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</si>
  <si>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</si>
  <si>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</si>
  <si>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</si>
  <si>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</si>
  <si>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</si>
  <si>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</si>
  <si>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</si>
  <si>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</si>
  <si>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</si>
  <si>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</si>
  <si>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</si>
  <si>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</si>
  <si>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</si>
  <si>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</si>
  <si>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</si>
  <si>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</si>
  <si>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</si>
  <si>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</si>
  <si>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</si>
  <si>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</si>
  <si>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</si>
  <si>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</si>
  <si>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</si>
  <si>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</si>
  <si>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</si>
  <si>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</si>
  <si>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</si>
  <si>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</si>
  <si>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</si>
  <si>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</si>
  <si>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</si>
  <si>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</si>
  <si>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</si>
  <si>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</si>
  <si>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</si>
  <si>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</si>
  <si>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</si>
  <si>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</si>
  <si>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</si>
  <si>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</si>
  <si>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</si>
  <si>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</si>
  <si>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</si>
  <si>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</si>
  <si>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</si>
  <si>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</si>
  <si>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</si>
  <si>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</si>
  <si>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</si>
  <si>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</si>
  <si>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</si>
  <si>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</si>
  <si>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</si>
  <si>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</si>
  <si>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</si>
  <si>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</si>
  <si>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</si>
  <si>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</si>
  <si>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</si>
  <si>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</si>
  <si>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</si>
  <si>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</si>
  <si>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</si>
  <si>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</si>
  <si>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</si>
  <si>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</si>
  <si>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</si>
  <si>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</si>
  <si>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</si>
  <si>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</si>
  <si>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</si>
  <si>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</si>
  <si>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</si>
  <si>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</si>
  <si>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</si>
  <si>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</si>
  <si>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</si>
  <si>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</si>
  <si>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</si>
  <si>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</si>
  <si>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</si>
  <si>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</si>
  <si>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</si>
  <si>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</si>
  <si>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</si>
  <si>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</si>
  <si>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</si>
  <si>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</si>
  <si>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</si>
  <si>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</si>
  <si>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</si>
  <si>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</si>
  <si>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</si>
  <si>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</si>
  <si>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</si>
  <si>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</si>
  <si>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</si>
  <si>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</si>
  <si>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</si>
  <si>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</si>
  <si>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</si>
  <si>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</si>
  <si>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</si>
  <si>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</si>
  <si>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</si>
  <si>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</si>
  <si>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</si>
  <si>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</si>
  <si>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</si>
  <si>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</si>
  <si>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</si>
  <si>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</si>
  <si>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</si>
  <si>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</si>
  <si>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</si>
  <si>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</si>
  <si>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</si>
  <si>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</si>
  <si>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</si>
  <si>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</si>
  <si>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</si>
  <si>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</si>
  <si>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</si>
  <si>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</si>
  <si>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</si>
  <si>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</si>
  <si>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</si>
  <si>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</si>
  <si>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</si>
  <si>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</si>
  <si>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</si>
  <si>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</si>
  <si>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</si>
  <si>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</si>
  <si>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</si>
  <si>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</si>
  <si>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</si>
  <si>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</si>
  <si>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</si>
  <si>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</si>
  <si>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</si>
  <si>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</si>
  <si>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</si>
  <si>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</si>
  <si>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</si>
  <si>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</si>
  <si>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</si>
  <si>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</si>
  <si>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</si>
  <si>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</si>
  <si>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</si>
  <si>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</si>
  <si>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</si>
  <si>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</si>
  <si>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</si>
  <si>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</si>
  <si>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</si>
  <si>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</si>
  <si>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</si>
  <si>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</si>
  <si>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</si>
  <si>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</si>
  <si>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</si>
  <si>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</si>
  <si>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</si>
  <si>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</si>
  <si>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</si>
  <si>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</si>
  <si>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</si>
  <si>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</si>
  <si>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</si>
  <si>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</si>
  <si>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</si>
  <si>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</si>
  <si>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</si>
  <si>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</si>
  <si>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</si>
  <si>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</si>
  <si>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</si>
  <si>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</si>
  <si>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</si>
  <si>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</si>
  <si>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</si>
  <si>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</si>
  <si>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</si>
  <si>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</si>
  <si>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</si>
  <si>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</si>
  <si>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</si>
  <si>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</si>
  <si>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</si>
  <si>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</si>
  <si>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</si>
  <si>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</si>
  <si>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</si>
  <si>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</si>
  <si>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</si>
  <si>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</si>
  <si>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</si>
  <si>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</si>
  <si>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</si>
  <si>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</si>
  <si>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</si>
  <si>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</si>
  <si>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</si>
  <si>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</si>
  <si>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</si>
  <si>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</si>
  <si>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</si>
  <si>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</si>
  <si>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</si>
  <si>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</si>
  <si>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</si>
  <si>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</si>
  <si>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</si>
  <si>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</si>
  <si>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</si>
  <si>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</si>
  <si>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</si>
  <si>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</si>
  <si>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</si>
  <si>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</si>
  <si>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</si>
  <si>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</si>
  <si>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</si>
  <si>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</si>
  <si>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</si>
  <si>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</si>
  <si>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</si>
  <si>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</si>
  <si>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</si>
  <si>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</si>
  <si>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</si>
  <si>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</si>
  <si>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</si>
  <si>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</si>
  <si>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</si>
  <si>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</si>
  <si>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</si>
  <si>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</si>
  <si>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</si>
  <si>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</si>
  <si>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</si>
  <si>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</si>
  <si>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</si>
  <si>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</si>
  <si>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</si>
  <si>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</si>
  <si>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</si>
  <si>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</si>
  <si>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</si>
  <si>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</si>
  <si>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</si>
  <si>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</si>
  <si>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</si>
  <si>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</si>
  <si>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</si>
  <si>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</si>
  <si>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</si>
  <si>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</si>
  <si>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</si>
  <si>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</si>
  <si>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</si>
  <si>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</si>
  <si>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</si>
  <si>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</si>
  <si>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</si>
  <si>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</si>
  <si>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</si>
  <si>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</si>
  <si>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</si>
  <si>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</si>
  <si>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</si>
  <si>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</si>
  <si>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</si>
  <si>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</si>
  <si>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</si>
  <si>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</si>
  <si>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</si>
  <si>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</si>
  <si>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</si>
  <si>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</si>
  <si>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</si>
  <si>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</si>
  <si>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</si>
  <si>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</si>
  <si>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</si>
  <si>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</si>
  <si>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</si>
  <si>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</si>
  <si>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</si>
  <si>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</si>
  <si>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</si>
  <si>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</si>
  <si>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</si>
  <si>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</si>
  <si>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</si>
  <si>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</si>
  <si>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</si>
  <si>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</si>
  <si>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</si>
  <si>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</si>
  <si>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</si>
  <si>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</si>
  <si>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</si>
  <si>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</si>
  <si>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</si>
  <si>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</si>
  <si>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</si>
  <si>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</si>
  <si>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</si>
  <si>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</si>
  <si>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</si>
  <si>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</si>
  <si>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</si>
  <si>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</si>
  <si>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</si>
  <si>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</si>
  <si>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</si>
  <si>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</si>
  <si>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</si>
  <si>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</si>
  <si>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</si>
  <si>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</si>
  <si>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</si>
  <si>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</si>
  <si>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</si>
  <si>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</si>
  <si>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</si>
  <si>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</si>
  <si>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</si>
  <si>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</si>
  <si>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</si>
  <si>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</si>
  <si>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</si>
  <si>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</si>
  <si>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</si>
  <si>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</si>
  <si>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</si>
  <si>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</si>
  <si>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</si>
  <si>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</si>
  <si>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</si>
  <si>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</si>
  <si>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</si>
  <si>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</si>
  <si>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</si>
  <si>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</si>
  <si>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</si>
  <si>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</si>
  <si>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</si>
  <si>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</si>
  <si>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</si>
  <si>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</si>
  <si>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</si>
  <si>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</si>
  <si>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</si>
  <si>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</si>
  <si>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</si>
  <si>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</si>
  <si>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</si>
  <si>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</si>
  <si>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</si>
  <si>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</si>
  <si>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</si>
  <si>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</si>
  <si>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</si>
  <si>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</si>
  <si>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</si>
  <si>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</si>
  <si>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</si>
  <si>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</si>
  <si>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</si>
  <si>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</si>
  <si>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</si>
  <si>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</si>
  <si>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</si>
  <si>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</si>
  <si>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</si>
  <si>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</si>
  <si>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</si>
  <si>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</si>
  <si>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</si>
  <si>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</si>
  <si>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</si>
  <si>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</si>
  <si>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</si>
  <si>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</si>
  <si>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</si>
  <si>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</si>
  <si>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</si>
  <si>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</si>
  <si>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</si>
  <si>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</si>
  <si>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</si>
  <si>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</si>
  <si>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</si>
  <si>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</si>
  <si>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</si>
  <si>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</si>
  <si>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</si>
  <si>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</si>
  <si>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</si>
  <si>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</si>
  <si>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</si>
  <si>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</si>
  <si>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</si>
  <si>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</si>
  <si>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</si>
  <si>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</si>
  <si>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</si>
  <si>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</si>
  <si>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</si>
  <si>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</si>
  <si>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</si>
  <si>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</si>
  <si>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</si>
  <si>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</si>
  <si>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</si>
  <si>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</si>
  <si>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</si>
  <si>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</si>
  <si>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</si>
  <si>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</si>
  <si>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</si>
  <si>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</si>
  <si>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</si>
  <si>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</si>
  <si>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</si>
  <si>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</si>
  <si>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</si>
  <si>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</si>
  <si>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</si>
  <si>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</si>
  <si>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</si>
  <si>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</si>
  <si>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</si>
  <si>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</si>
  <si>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</si>
  <si>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</si>
  <si>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</si>
  <si>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</si>
  <si>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</si>
  <si>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</si>
  <si>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</si>
  <si>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</si>
  <si>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</si>
  <si>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</si>
  <si>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</si>
  <si>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</si>
  <si>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</si>
  <si>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</si>
  <si>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</si>
  <si>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</si>
  <si>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</si>
  <si>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</si>
  <si>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</si>
  <si>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</si>
  <si>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</si>
  <si>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</si>
  <si>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</si>
  <si>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</si>
  <si>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</si>
  <si>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</si>
  <si>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</si>
  <si>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</si>
  <si>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</si>
  <si>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</si>
  <si>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</si>
  <si>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</si>
  <si>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</si>
  <si>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</si>
  <si>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</si>
  <si>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</si>
  <si>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</si>
  <si>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</si>
  <si>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</si>
  <si>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</si>
  <si>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</si>
  <si>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</si>
  <si>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</si>
  <si>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</si>
  <si>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</si>
  <si>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</si>
  <si>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</si>
  <si>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</si>
  <si>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</si>
  <si>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</si>
  <si>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</si>
  <si>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</si>
  <si>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</si>
  <si>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</si>
  <si>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</si>
  <si>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</si>
  <si>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</si>
  <si>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</si>
  <si>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</si>
  <si>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</si>
  <si>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</si>
  <si>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</si>
  <si>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</si>
  <si>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</si>
  <si>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</si>
  <si>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</si>
  <si>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</si>
  <si>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</si>
  <si>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</si>
  <si>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</si>
  <si>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</si>
  <si>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</si>
  <si>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</si>
  <si>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</si>
  <si>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</si>
  <si>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</si>
  <si>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</si>
  <si>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</si>
  <si>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</si>
  <si>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</si>
  <si>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</si>
  <si>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</si>
  <si>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</si>
  <si>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</si>
  <si>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</si>
  <si>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</si>
  <si>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</si>
  <si>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</si>
  <si>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</si>
  <si>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</si>
  <si>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</si>
  <si>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</si>
  <si>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</si>
  <si>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</si>
  <si>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</si>
  <si>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</si>
  <si>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</si>
  <si>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</si>
  <si>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</si>
  <si>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</si>
  <si>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</si>
  <si>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</si>
  <si>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</si>
  <si>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</si>
  <si>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</si>
  <si>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</si>
  <si>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</si>
  <si>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</si>
  <si>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</si>
  <si>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</si>
  <si>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</si>
  <si>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</si>
  <si>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</si>
  <si>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</si>
  <si>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</si>
  <si>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</si>
  <si>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</si>
  <si>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</si>
  <si>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</si>
  <si>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</si>
  <si>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</si>
  <si>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</si>
  <si>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</si>
  <si>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</si>
  <si>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</si>
  <si>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</si>
  <si>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</si>
  <si>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</si>
  <si>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</si>
  <si>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</si>
  <si>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</si>
  <si>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</si>
  <si>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</si>
  <si>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</si>
  <si>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</si>
  <si>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</si>
  <si>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</si>
  <si>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</si>
  <si>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</si>
  <si>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</si>
  <si>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</si>
  <si>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</si>
  <si>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</si>
  <si>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</si>
  <si>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</si>
  <si>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</si>
  <si>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</si>
  <si>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</si>
  <si>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</si>
  <si>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</si>
  <si>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</si>
  <si>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</si>
  <si>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</si>
  <si>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</si>
  <si>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</si>
  <si>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</si>
  <si>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</si>
  <si>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</si>
  <si>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</si>
  <si>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</si>
  <si>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</si>
  <si>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</si>
  <si>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</si>
  <si>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</si>
  <si>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</si>
  <si>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</si>
  <si>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</si>
  <si>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</si>
  <si>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</si>
  <si>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</si>
  <si>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</si>
  <si>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</si>
  <si>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</si>
  <si>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</si>
  <si>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</si>
  <si>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</si>
  <si>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</si>
  <si>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</si>
  <si>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</si>
  <si>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</si>
  <si>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</si>
  <si>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</si>
  <si>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</si>
  <si>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</si>
  <si>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</si>
  <si>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</si>
  <si>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</si>
  <si>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</si>
  <si>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</si>
  <si>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</si>
  <si>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</si>
  <si>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</si>
  <si>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</si>
  <si>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</si>
  <si>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</si>
  <si>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</si>
  <si>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</si>
  <si>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</si>
  <si>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</si>
  <si>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</si>
  <si>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</si>
  <si>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</si>
  <si>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</si>
  <si>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</si>
  <si>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</si>
  <si>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</si>
  <si>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</si>
  <si>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</si>
  <si>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</si>
  <si>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</si>
  <si>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</si>
  <si>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</si>
  <si>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</si>
  <si>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</si>
  <si>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</si>
  <si>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</si>
  <si>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</si>
  <si>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</si>
  <si>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</si>
  <si>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</si>
  <si>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</si>
  <si>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</si>
  <si>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</si>
  <si>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</si>
  <si>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</si>
  <si>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</si>
  <si>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</si>
  <si>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</si>
  <si>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</si>
  <si>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</si>
  <si>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</si>
  <si>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</si>
  <si>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</si>
  <si>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</si>
  <si>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</si>
  <si>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</si>
  <si>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</si>
  <si>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</si>
  <si>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</si>
  <si>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</si>
  <si>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</si>
  <si>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</si>
  <si>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</si>
  <si>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</si>
  <si>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</si>
  <si>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</si>
  <si>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</si>
  <si>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</si>
  <si>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</si>
  <si>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</si>
  <si>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</si>
  <si>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</si>
  <si>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</si>
  <si>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</si>
  <si>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</si>
  <si>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</si>
  <si>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</si>
  <si>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</si>
  <si>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</si>
  <si>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</si>
  <si>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</si>
  <si>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</si>
  <si>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</si>
  <si>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</si>
  <si>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</si>
  <si>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</si>
  <si>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</si>
  <si>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</si>
  <si>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</si>
  <si>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</si>
  <si>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</si>
  <si>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</si>
  <si>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</si>
  <si>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</si>
  <si>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</si>
  <si>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</si>
  <si>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</si>
  <si>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</si>
  <si>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</si>
  <si>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</si>
  <si>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</si>
  <si>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</si>
  <si>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</si>
  <si>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</si>
  <si>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</si>
  <si>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</si>
  <si>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</si>
  <si>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</si>
  <si>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</si>
  <si>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</si>
  <si>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</si>
  <si>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</si>
  <si>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</si>
  <si>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</si>
  <si>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</si>
  <si>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</si>
  <si>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</si>
  <si>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</si>
  <si>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</si>
  <si>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</si>
  <si>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</si>
  <si>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</si>
  <si>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</si>
  <si>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</si>
  <si>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</si>
  <si>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</si>
  <si>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</si>
  <si>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</si>
  <si>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</si>
  <si>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</si>
  <si>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</si>
  <si>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</si>
  <si>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</si>
  <si>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</si>
  <si>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</si>
  <si>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</si>
  <si>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</si>
  <si>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</si>
  <si>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</si>
  <si>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</si>
  <si>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</si>
  <si>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</si>
  <si>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</si>
  <si>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</si>
  <si>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</si>
  <si>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</si>
  <si>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</si>
  <si>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</si>
  <si>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</si>
  <si>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</si>
  <si>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</si>
  <si>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</si>
  <si>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</si>
  <si>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</si>
  <si>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</si>
  <si>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</si>
  <si>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</si>
  <si>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</si>
  <si>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</si>
  <si>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</si>
  <si>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</si>
  <si>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</si>
  <si>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</si>
  <si>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</si>
  <si>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</si>
  <si>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</si>
  <si>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</si>
  <si>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</si>
  <si>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</si>
  <si>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</si>
  <si>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</si>
  <si>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</si>
  <si>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</si>
  <si>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</si>
  <si>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</si>
  <si>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</si>
  <si>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</si>
  <si>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</si>
  <si>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</si>
  <si>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</si>
  <si>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</si>
  <si>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</si>
  <si>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</si>
  <si>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</si>
  <si>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</si>
  <si>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</si>
  <si>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</si>
  <si>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</si>
  <si>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</si>
  <si>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</si>
  <si>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</si>
  <si>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</si>
  <si>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</si>
  <si>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</si>
  <si>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</si>
  <si>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</si>
  <si>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</si>
  <si>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</si>
  <si>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</si>
  <si>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</si>
  <si>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</si>
  <si>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</si>
  <si>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</si>
  <si>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</si>
  <si>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</si>
  <si>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</si>
  <si>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</si>
  <si>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</si>
  <si>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</si>
  <si>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</si>
  <si>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</si>
  <si>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</si>
  <si>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</si>
  <si>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</si>
  <si>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</si>
  <si>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</si>
  <si>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</si>
  <si>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</si>
  <si>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</si>
  <si>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</si>
  <si>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</si>
  <si>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</si>
  <si>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</si>
  <si>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</si>
  <si>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</si>
  <si>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</si>
  <si>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</si>
  <si>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</si>
  <si>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</si>
  <si>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</si>
  <si>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</si>
  <si>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</si>
  <si>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</si>
  <si>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</si>
  <si>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</si>
  <si>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</si>
  <si>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</si>
  <si>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</si>
  <si>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</si>
  <si>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</si>
  <si>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</si>
  <si>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</si>
  <si>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</si>
  <si>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</si>
  <si>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</si>
  <si>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</si>
  <si>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</si>
  <si>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</si>
  <si>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</si>
  <si>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</si>
  <si>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</si>
  <si>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</si>
  <si>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</si>
  <si>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</si>
  <si>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</si>
  <si>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</si>
  <si>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</si>
  <si>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</si>
  <si>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</si>
  <si>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</si>
  <si>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</si>
  <si>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</si>
  <si>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</si>
  <si>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</si>
  <si>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</si>
  <si>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</si>
  <si>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</si>
  <si>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</si>
  <si>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</si>
  <si>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</si>
  <si>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</si>
  <si>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</si>
  <si>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</si>
  <si>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</si>
  <si>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</si>
  <si>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</si>
  <si>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</si>
  <si>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</si>
  <si>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</si>
  <si>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</si>
  <si>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</si>
  <si>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</si>
  <si>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</si>
  <si>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</si>
  <si>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</si>
  <si>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</si>
  <si>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</si>
  <si>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</si>
  <si>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</si>
  <si>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</si>
  <si>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</si>
  <si>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</si>
  <si>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</si>
  <si>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</si>
  <si>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</si>
  <si>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</si>
  <si>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</si>
  <si>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</si>
  <si>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</si>
  <si>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</si>
  <si>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</si>
  <si>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</si>
  <si>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</si>
  <si>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</si>
  <si>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</si>
  <si>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</si>
  <si>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</si>
  <si>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</si>
  <si>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</si>
  <si>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</si>
  <si>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</si>
  <si>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</si>
  <si>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</si>
  <si>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</si>
  <si>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</si>
  <si>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</si>
  <si>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</si>
  <si>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</si>
  <si>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</si>
  <si>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</si>
  <si>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</si>
  <si>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</si>
  <si>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</si>
  <si>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</si>
  <si>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</si>
  <si>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</si>
  <si>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</si>
  <si>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</si>
  <si>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</si>
  <si>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</si>
  <si>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</si>
  <si>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</si>
  <si>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</si>
  <si>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</si>
  <si>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</si>
  <si>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</si>
  <si>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</si>
  <si>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</si>
  <si>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</si>
  <si>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</si>
  <si>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</si>
  <si>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</si>
  <si>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</si>
  <si>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</si>
  <si>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</si>
  <si>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</si>
  <si>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</si>
  <si>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</si>
  <si>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</si>
  <si>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</si>
  <si>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</si>
  <si>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</si>
  <si>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</si>
  <si>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</si>
  <si>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</si>
  <si>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</si>
  <si>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</si>
  <si>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</si>
  <si>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</si>
  <si>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</si>
  <si>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</si>
  <si>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</si>
  <si>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</si>
  <si>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</si>
  <si>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</si>
  <si>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</si>
  <si>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</si>
  <si>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</si>
  <si>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</si>
  <si>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</si>
  <si>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</si>
  <si>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</si>
  <si>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</si>
  <si>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</si>
  <si>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</si>
  <si>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</si>
  <si>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</si>
  <si>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</si>
  <si>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</si>
  <si>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</si>
  <si>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</si>
  <si>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</si>
  <si>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</si>
  <si>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</si>
  <si>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</si>
  <si>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</si>
  <si>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</si>
  <si>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</si>
  <si>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</si>
  <si>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</si>
  <si>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</si>
  <si>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</si>
  <si>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</si>
  <si>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</si>
  <si>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</si>
  <si>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</si>
  <si>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</si>
  <si>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</si>
  <si>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</si>
  <si>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</si>
  <si>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</si>
  <si>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</si>
  <si>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</si>
  <si>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</si>
  <si>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</si>
  <si>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</si>
  <si>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</si>
  <si>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</si>
  <si>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</si>
  <si>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</si>
  <si>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</si>
  <si>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</si>
  <si>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</si>
  <si>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</si>
  <si>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</si>
  <si>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</si>
  <si>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</si>
  <si>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</si>
  <si>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</si>
  <si>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</si>
  <si>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</si>
  <si>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</si>
  <si>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</si>
  <si>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</si>
  <si>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</si>
  <si>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</si>
  <si>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</si>
  <si>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</si>
  <si>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</si>
  <si>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</si>
  <si>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</si>
  <si>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</si>
  <si>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</si>
  <si>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</si>
  <si>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</si>
  <si>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</si>
  <si>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</si>
  <si>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</si>
  <si>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</si>
  <si>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</si>
  <si>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</si>
  <si>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</si>
  <si>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</si>
  <si>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</si>
  <si>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</si>
  <si>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</si>
  <si>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</si>
  <si>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</si>
  <si>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</si>
  <si>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</si>
  <si>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</si>
  <si>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</si>
  <si>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</si>
  <si>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</si>
  <si>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</si>
  <si>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</si>
  <si>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</si>
  <si>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</si>
  <si>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</si>
  <si>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</si>
  <si>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</si>
  <si>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</si>
  <si>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</si>
  <si>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</si>
  <si>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</si>
  <si>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</si>
  <si>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</si>
  <si>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</si>
  <si>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</si>
  <si>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</si>
  <si>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</si>
  <si>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</si>
  <si>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</si>
  <si>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</si>
  <si>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</si>
  <si>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</si>
  <si>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</si>
  <si>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</si>
  <si>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</si>
  <si>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</si>
  <si>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</si>
  <si>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</si>
  <si>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</si>
  <si>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</si>
  <si>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</si>
  <si>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</si>
  <si>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</si>
  <si>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</si>
  <si>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</si>
  <si>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</si>
  <si>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</si>
  <si>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</si>
  <si>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</si>
  <si>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</si>
  <si>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</si>
  <si>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</si>
  <si>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</si>
  <si>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</si>
  <si>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</si>
  <si>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</si>
  <si>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</si>
  <si>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</si>
  <si>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</si>
  <si>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</si>
  <si>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</si>
  <si>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</si>
  <si>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</si>
  <si>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</si>
  <si>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</si>
  <si>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</si>
  <si>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</si>
  <si>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</si>
  <si>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</si>
  <si>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</si>
  <si>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</si>
  <si>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</si>
  <si>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</si>
  <si>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</si>
  <si>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</si>
  <si>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</si>
  <si>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</si>
  <si>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</si>
  <si>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</si>
  <si>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</si>
  <si>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</si>
  <si>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</si>
  <si>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</si>
  <si>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</si>
  <si>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</si>
  <si>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</si>
  <si>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</si>
  <si>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</si>
  <si>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</si>
  <si>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</si>
  <si>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</si>
  <si>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</si>
  <si>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</si>
  <si>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</si>
  <si>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</si>
  <si>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</si>
  <si>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</si>
  <si>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</si>
  <si>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</si>
  <si>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</si>
  <si>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</si>
  <si>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</si>
  <si>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</si>
  <si>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</si>
  <si>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</si>
  <si>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</si>
  <si>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</si>
  <si>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</si>
  <si>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</si>
  <si>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</si>
  <si>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</si>
  <si>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</si>
  <si>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</si>
  <si>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</si>
  <si>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</si>
  <si>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</si>
  <si>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</si>
  <si>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</si>
  <si>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</si>
  <si>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</si>
  <si>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</si>
  <si>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</si>
  <si>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</si>
  <si>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</si>
  <si>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</si>
  <si>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</si>
  <si>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</si>
  <si>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</si>
  <si>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</si>
  <si>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</si>
  <si>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</si>
  <si>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</si>
  <si>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</si>
  <si>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</si>
  <si>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</si>
  <si>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</si>
  <si>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</si>
  <si>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</si>
  <si>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</si>
  <si>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</si>
  <si>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</si>
  <si>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</si>
  <si>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</si>
  <si>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</si>
  <si>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</si>
  <si>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</si>
  <si>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</si>
  <si>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</si>
  <si>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</si>
  <si>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</si>
  <si>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</si>
  <si>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</si>
  <si>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</si>
  <si>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</si>
  <si>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</si>
  <si>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</si>
  <si>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</si>
  <si>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</si>
  <si>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</si>
  <si>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</si>
  <si>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</si>
  <si>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</si>
  <si>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</si>
  <si>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</si>
  <si>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</si>
  <si>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</si>
  <si>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</si>
  <si>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</si>
  <si>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</si>
  <si>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</si>
  <si>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</si>
  <si>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</si>
  <si>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</si>
  <si>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</si>
  <si>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</si>
  <si>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</si>
  <si>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</si>
  <si>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</si>
  <si>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</si>
  <si>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</si>
  <si>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</si>
  <si>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</si>
  <si>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</si>
  <si>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</si>
  <si>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</si>
  <si>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</si>
  <si>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</si>
  <si>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</si>
  <si>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</si>
  <si>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</si>
  <si>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</si>
  <si>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</si>
  <si>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</si>
  <si>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</si>
  <si>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</si>
  <si>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</si>
  <si>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</si>
  <si>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</si>
  <si>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</si>
  <si>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</si>
  <si>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</si>
  <si>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</si>
  <si>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</si>
  <si>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</si>
  <si>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</si>
  <si>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</si>
  <si>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</si>
  <si>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</si>
  <si>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</si>
  <si>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</si>
  <si>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</si>
  <si>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</si>
  <si>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</si>
  <si>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</si>
  <si>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</si>
  <si>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</si>
  <si>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</si>
  <si>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</si>
  <si>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</si>
  <si>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</si>
  <si>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</si>
  <si>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</si>
  <si>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</si>
  <si>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</si>
  <si>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</si>
  <si>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</si>
  <si>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</si>
  <si>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</si>
  <si>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</si>
  <si>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</si>
  <si>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</si>
  <si>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</si>
  <si>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</si>
  <si>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</si>
  <si>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</si>
  <si>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</si>
  <si>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</si>
  <si>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</si>
  <si>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</si>
  <si>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</si>
  <si>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</si>
  <si>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</si>
  <si>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</si>
  <si>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</si>
  <si>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</si>
  <si>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</si>
  <si>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</si>
  <si>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</si>
  <si>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</si>
  <si>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</si>
  <si>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</si>
  <si>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</si>
  <si>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</si>
  <si>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</si>
  <si>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</si>
  <si>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</si>
  <si>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</si>
  <si>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</si>
  <si>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</si>
  <si>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</si>
  <si>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</si>
  <si>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</si>
  <si>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</si>
  <si>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</si>
  <si>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</si>
  <si>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</si>
  <si>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</si>
  <si>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</si>
  <si>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</si>
  <si>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</si>
  <si>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</si>
  <si>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</si>
  <si>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</si>
  <si>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</si>
  <si>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</si>
  <si>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</si>
  <si>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</si>
  <si>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</si>
  <si>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</si>
  <si>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</si>
  <si>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</si>
  <si>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</si>
  <si>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</si>
  <si>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</si>
  <si>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</si>
  <si>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</si>
  <si>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</si>
  <si>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</si>
  <si>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</si>
  <si>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</si>
  <si>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</si>
  <si>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</si>
  <si>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</si>
  <si>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</si>
  <si>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</si>
  <si>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</si>
  <si>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</si>
  <si>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</si>
  <si>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</si>
  <si>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</si>
  <si>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</si>
  <si>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</si>
  <si>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</si>
  <si>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</si>
  <si>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</si>
  <si>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</si>
  <si>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</si>
  <si>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</si>
  <si>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</si>
  <si>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</si>
  <si>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</si>
  <si>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</si>
  <si>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</si>
  <si>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</si>
  <si>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</si>
  <si>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</si>
  <si>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</si>
  <si>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</si>
  <si>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</si>
  <si>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</si>
  <si>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</si>
  <si>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</si>
  <si>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</si>
  <si>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</si>
  <si>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</si>
  <si>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</si>
  <si>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</si>
  <si>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</si>
  <si>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</si>
  <si>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</si>
  <si>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</si>
  <si>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</si>
  <si>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</si>
  <si>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</si>
  <si>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</si>
  <si>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</si>
  <si>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</si>
  <si>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</si>
  <si>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</si>
  <si>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</si>
  <si>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</si>
  <si>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</si>
  <si>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</si>
  <si>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</si>
  <si>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</si>
  <si>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</si>
  <si>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</si>
  <si>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</si>
  <si>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</si>
  <si>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</si>
  <si>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</si>
  <si>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</si>
  <si>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</si>
  <si>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</si>
  <si>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</si>
  <si>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</si>
  <si>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</si>
  <si>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</si>
  <si>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</si>
  <si>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</si>
  <si>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</si>
  <si>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</si>
  <si>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</si>
  <si>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</si>
  <si>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</si>
  <si>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</si>
  <si>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</si>
  <si>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</si>
  <si>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</si>
  <si>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</si>
  <si>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</si>
  <si>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</si>
  <si>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</si>
  <si>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</si>
  <si>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</si>
  <si>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</si>
  <si>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</si>
  <si>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</si>
  <si>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</si>
  <si>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</si>
  <si>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</si>
  <si>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</si>
  <si>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</si>
  <si>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</si>
  <si>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</si>
  <si>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</si>
  <si>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</si>
  <si>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</si>
  <si>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</si>
  <si>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</si>
  <si>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</si>
  <si>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</si>
  <si>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</si>
  <si>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</si>
  <si>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</si>
  <si>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</si>
  <si>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</si>
  <si>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</si>
  <si>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</si>
  <si>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</si>
  <si>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</si>
  <si>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</si>
  <si>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</si>
  <si>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</si>
  <si>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</si>
  <si>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</si>
  <si>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</si>
  <si>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</si>
  <si>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</si>
  <si>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</si>
  <si>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</si>
  <si>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</si>
  <si>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</si>
  <si>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</si>
  <si>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</si>
  <si>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</si>
  <si>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</si>
  <si>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</si>
  <si>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</si>
  <si>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</si>
  <si>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</si>
  <si>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</si>
  <si>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</si>
  <si>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</si>
  <si>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</si>
  <si>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</si>
  <si>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</si>
  <si>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</si>
  <si>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</si>
  <si>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</si>
  <si>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</si>
  <si>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</si>
  <si>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</si>
  <si>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</si>
  <si>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</si>
  <si>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</si>
  <si>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</si>
  <si>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</si>
  <si>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</si>
  <si>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</si>
  <si>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</si>
  <si>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</si>
  <si>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</si>
  <si>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</si>
  <si>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</si>
  <si>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</si>
  <si>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</si>
  <si>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</si>
  <si>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</si>
  <si>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</si>
  <si>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</si>
  <si>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</si>
  <si>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</si>
  <si>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</si>
  <si>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</si>
  <si>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</si>
  <si>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</si>
  <si>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</si>
  <si>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</si>
  <si>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</si>
  <si>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</si>
  <si>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</si>
  <si>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</si>
  <si>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</si>
  <si>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</si>
  <si>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</si>
  <si>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</si>
  <si>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</si>
  <si>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</si>
  <si>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</si>
  <si>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</si>
  <si>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</si>
  <si>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</si>
  <si>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</si>
  <si>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</si>
  <si>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</si>
  <si>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</si>
  <si>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</si>
  <si>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</si>
  <si>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</si>
  <si>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</si>
  <si>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</si>
  <si>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</si>
  <si>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</si>
  <si>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</si>
  <si>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</si>
  <si>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</si>
  <si>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</si>
  <si>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</si>
  <si>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</si>
  <si>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</si>
  <si>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</si>
  <si>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</si>
  <si>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</si>
  <si>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</si>
  <si>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</si>
  <si>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</si>
  <si>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</si>
  <si>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</si>
  <si>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</si>
  <si>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</si>
  <si>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</si>
  <si>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</si>
  <si>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</si>
  <si>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</si>
  <si>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</si>
  <si>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</si>
  <si>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</si>
  <si>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</si>
  <si>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</si>
  <si>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</si>
  <si>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</si>
  <si>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</si>
  <si>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</si>
  <si>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</si>
  <si>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</si>
  <si>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</si>
  <si>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</si>
  <si>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</si>
  <si>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</si>
  <si>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</si>
  <si>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</si>
  <si>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</si>
  <si>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</si>
  <si>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</si>
  <si>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</si>
  <si>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</si>
  <si>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</si>
  <si>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</si>
  <si>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</si>
  <si>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</si>
  <si>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</si>
  <si>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</si>
  <si>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</si>
  <si>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</si>
  <si>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</si>
  <si>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</si>
  <si>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</si>
  <si>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</si>
  <si>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</si>
  <si>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</si>
  <si>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</si>
  <si>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</si>
  <si>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</si>
  <si>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</si>
  <si>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</si>
  <si>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</si>
  <si>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</si>
  <si>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</si>
  <si>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</si>
  <si>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</si>
  <si>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</si>
  <si>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</si>
  <si>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</si>
  <si>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</si>
  <si>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</si>
  <si>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</si>
  <si>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</si>
  <si>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</si>
  <si>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</si>
  <si>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</si>
  <si>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</si>
  <si>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</si>
  <si>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</si>
  <si>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</si>
  <si>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</si>
  <si>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</si>
  <si>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</si>
  <si>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</si>
  <si>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</si>
  <si>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</si>
  <si>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</si>
  <si>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</si>
  <si>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</si>
  <si>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</si>
  <si>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</si>
  <si>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</si>
  <si>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</si>
  <si>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</si>
  <si>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</si>
  <si>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</si>
  <si>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</si>
  <si>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</si>
  <si>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</si>
  <si>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</si>
  <si>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</si>
  <si>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</si>
  <si>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</si>
  <si>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</si>
  <si>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</si>
  <si>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</si>
  <si>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</si>
  <si>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</si>
  <si>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</si>
  <si>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</si>
  <si>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</si>
  <si>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</si>
  <si>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</si>
  <si>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</si>
  <si>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</si>
  <si>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</si>
  <si>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</si>
  <si>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</si>
  <si>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</si>
  <si>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</si>
  <si>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</si>
  <si>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</si>
  <si>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</si>
  <si>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</si>
  <si>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</si>
  <si>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</si>
  <si>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</si>
  <si>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</si>
  <si>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</si>
  <si>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</si>
  <si>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</si>
  <si>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</si>
  <si>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</si>
  <si>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</si>
  <si>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</si>
  <si>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</si>
  <si>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</si>
  <si>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</si>
  <si>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</si>
  <si>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</si>
  <si>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</si>
  <si>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</si>
  <si>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</si>
  <si>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</si>
  <si>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</si>
  <si>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</si>
  <si>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</si>
  <si>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</si>
  <si>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</si>
  <si>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</si>
  <si>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</si>
  <si>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</si>
  <si>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</si>
  <si>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</si>
  <si>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</si>
  <si>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</si>
  <si>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</si>
  <si>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</si>
  <si>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</si>
  <si>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</si>
  <si>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</si>
  <si>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</si>
  <si>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</si>
  <si>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</si>
  <si>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</si>
  <si>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</si>
  <si>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</si>
  <si>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</si>
  <si>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</si>
  <si>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</si>
  <si>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</si>
  <si>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</si>
  <si>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</si>
  <si>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</si>
  <si>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</si>
  <si>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</si>
  <si>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</si>
  <si>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</si>
  <si>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</si>
  <si>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</si>
  <si>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</si>
  <si>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</si>
  <si>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</si>
  <si>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</si>
  <si>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</si>
  <si>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</si>
  <si>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</si>
  <si>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</si>
  <si>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</si>
  <si>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</si>
  <si>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</si>
  <si>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</si>
  <si>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</si>
  <si>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</si>
  <si>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</si>
  <si>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</si>
  <si>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</si>
  <si>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</si>
  <si>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</si>
  <si>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</si>
  <si>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</si>
  <si>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</si>
  <si>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</si>
  <si>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</si>
  <si>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</si>
  <si>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</si>
  <si>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</si>
  <si>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</si>
  <si>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</si>
  <si>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</si>
  <si>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</si>
  <si>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</si>
  <si>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</si>
  <si>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</si>
  <si>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</si>
  <si>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</si>
  <si>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</si>
  <si>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</si>
  <si>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</si>
  <si>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</si>
  <si>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</si>
  <si>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</si>
  <si>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</si>
  <si>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</si>
  <si>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</si>
  <si>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</si>
  <si>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</si>
  <si>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</si>
  <si>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</si>
  <si>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</si>
  <si>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</si>
  <si>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</si>
  <si>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</si>
  <si>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</si>
  <si>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</si>
  <si>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</si>
  <si>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</si>
  <si>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</si>
  <si>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</si>
  <si>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</si>
  <si>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</si>
  <si>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</si>
  <si>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</si>
  <si>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</si>
  <si>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</si>
  <si>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</si>
  <si>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</si>
  <si>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</si>
  <si>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</si>
  <si>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</si>
  <si>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</si>
  <si>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</si>
  <si>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</si>
  <si>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</si>
  <si>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</si>
  <si>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</si>
  <si>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</si>
  <si>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</si>
  <si>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</si>
  <si>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</si>
  <si>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</si>
  <si>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</si>
  <si>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</si>
  <si>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</si>
  <si>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</si>
  <si>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</si>
  <si>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</si>
  <si>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</si>
  <si>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</si>
  <si>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</si>
  <si>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</si>
  <si>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</si>
  <si>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</si>
  <si>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</si>
  <si>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</si>
  <si>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</si>
  <si>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</si>
  <si>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</si>
  <si>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</si>
  <si>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</si>
  <si>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</si>
  <si>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</si>
  <si>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</si>
  <si>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</si>
  <si>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</si>
  <si>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</si>
  <si>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</si>
  <si>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</si>
  <si>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</si>
  <si>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</si>
  <si>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</si>
  <si>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</si>
  <si>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</si>
  <si>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</si>
  <si>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</si>
  <si>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</si>
  <si>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</si>
  <si>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</si>
  <si>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</si>
  <si>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</si>
  <si>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</si>
  <si>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</si>
  <si>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</si>
  <si>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</si>
  <si>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</si>
  <si>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</si>
  <si>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</si>
  <si>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</si>
  <si>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</si>
  <si>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</si>
  <si>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</si>
  <si>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</si>
  <si>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</si>
  <si>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</si>
  <si>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</si>
  <si>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</si>
  <si>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</si>
  <si>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</si>
  <si>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</si>
  <si>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</si>
  <si>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</si>
  <si>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</si>
  <si>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</si>
  <si>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</si>
  <si>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</si>
  <si>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</si>
  <si>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</si>
  <si>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</si>
  <si>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</si>
  <si>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</si>
  <si>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</si>
  <si>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</si>
  <si>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</si>
  <si>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</si>
  <si>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</si>
  <si>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</si>
  <si>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</si>
  <si>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</si>
  <si>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</si>
  <si>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</si>
  <si>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</si>
  <si>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</si>
  <si>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</si>
  <si>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</si>
  <si>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</si>
  <si>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</si>
  <si>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</si>
  <si>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</si>
  <si>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</si>
  <si>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</si>
  <si>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</si>
  <si>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</si>
  <si>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</si>
  <si>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</si>
  <si>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</si>
  <si>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</si>
  <si>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</si>
  <si>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</si>
  <si>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</si>
  <si>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</si>
  <si>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</si>
  <si>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</si>
  <si>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</si>
  <si>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</si>
  <si>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</si>
  <si>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</si>
  <si>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</si>
  <si>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</si>
  <si>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</si>
  <si>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</si>
  <si>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</si>
  <si>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</si>
  <si>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</si>
  <si>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</si>
  <si>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</si>
  <si>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</si>
  <si>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</si>
  <si>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</si>
  <si>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</si>
  <si>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</si>
  <si>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</si>
  <si>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</si>
  <si>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</si>
  <si>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</si>
  <si>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</si>
  <si>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</si>
  <si>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</si>
  <si>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</si>
  <si>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</si>
  <si>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</si>
  <si>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</si>
  <si>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</si>
  <si>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</si>
  <si>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</si>
  <si>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</si>
  <si>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</si>
  <si>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</si>
  <si>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</si>
  <si>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</si>
  <si>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</si>
  <si>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</si>
  <si>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</si>
  <si>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</si>
  <si>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</si>
  <si>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</si>
  <si>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</si>
  <si>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</si>
  <si>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</si>
  <si>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</si>
  <si>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</si>
  <si>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</si>
  <si>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</si>
  <si>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</si>
  <si>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</si>
  <si>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</si>
  <si>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</si>
  <si>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</si>
  <si>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</si>
  <si>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</si>
  <si>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</si>
  <si>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</si>
  <si>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</si>
  <si>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</si>
  <si>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</si>
  <si>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</si>
  <si>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</si>
  <si>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</si>
  <si>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</si>
  <si>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</si>
  <si>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</si>
  <si>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</si>
  <si>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</si>
  <si>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</si>
  <si>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</si>
  <si>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</si>
  <si>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</si>
  <si>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</si>
  <si>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</si>
  <si>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</si>
  <si>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</si>
  <si>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</si>
  <si>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</si>
  <si>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</si>
  <si>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</si>
  <si>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</si>
  <si>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</si>
  <si>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</si>
  <si>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</si>
  <si>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</si>
  <si>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</si>
  <si>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</si>
  <si>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</si>
  <si>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</si>
  <si>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</si>
  <si>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</si>
  <si>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</si>
  <si>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</si>
  <si>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</si>
  <si>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</si>
  <si>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</si>
  <si>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</si>
  <si>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</si>
  <si>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</si>
  <si>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</si>
  <si>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</si>
  <si>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</si>
  <si>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</si>
  <si>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</si>
  <si>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</si>
  <si>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</si>
  <si>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</si>
  <si>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</si>
  <si>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</si>
  <si>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</si>
  <si>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</si>
  <si>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</si>
  <si>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</si>
  <si>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</si>
  <si>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</si>
  <si>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</si>
  <si>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</si>
  <si>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</si>
  <si>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</si>
  <si>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</si>
  <si>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</si>
  <si>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</si>
  <si>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</si>
  <si>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</si>
  <si>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</si>
  <si>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</si>
  <si>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</si>
  <si>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</si>
  <si>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</si>
  <si>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</si>
  <si>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</si>
  <si>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</si>
  <si>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</si>
  <si>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</si>
  <si>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</si>
  <si>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</si>
  <si>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</si>
  <si>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</si>
  <si>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</si>
  <si>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</si>
  <si>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</si>
  <si>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</si>
  <si>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</si>
  <si>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</si>
  <si>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</si>
  <si>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</si>
  <si>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</si>
  <si>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</si>
  <si>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</si>
  <si>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</si>
  <si>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</si>
  <si>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</si>
  <si>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</si>
  <si>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</si>
  <si>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</si>
  <si>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</si>
  <si>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</si>
  <si>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</si>
  <si>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</si>
  <si>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</si>
  <si>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</si>
  <si>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</si>
  <si>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</si>
  <si>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</si>
  <si>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</si>
  <si>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</si>
  <si>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</si>
  <si>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</si>
  <si>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</si>
  <si>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</si>
  <si>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</si>
  <si>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</si>
  <si>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</si>
  <si>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</si>
  <si>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</si>
  <si>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</si>
  <si>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</si>
  <si>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</si>
  <si>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</si>
  <si>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</si>
  <si>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</si>
  <si>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</si>
  <si>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</si>
  <si>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</si>
  <si>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</si>
  <si>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</si>
  <si>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</si>
  <si>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</si>
  <si>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</si>
  <si>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</si>
  <si>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</si>
  <si>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</si>
  <si>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</si>
  <si>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</si>
  <si>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</si>
  <si>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</si>
  <si>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</si>
  <si>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</si>
  <si>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</si>
  <si>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</si>
  <si>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</si>
  <si>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</si>
  <si>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</si>
  <si>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</si>
  <si>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</si>
  <si>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</si>
  <si>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</si>
  <si>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</si>
  <si>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</si>
  <si>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</si>
  <si>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</si>
  <si>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</si>
  <si>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</si>
  <si>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</si>
  <si>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</si>
  <si>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</si>
  <si>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</si>
  <si>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</si>
  <si>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</si>
  <si>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</si>
  <si>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</si>
  <si>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</si>
  <si>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</si>
  <si>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</si>
  <si>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</si>
  <si>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</si>
  <si>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</si>
  <si>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</si>
  <si>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</si>
  <si>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</si>
  <si>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</si>
  <si>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</si>
  <si>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</si>
  <si>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</si>
  <si>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</si>
  <si>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</si>
  <si>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</si>
  <si>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</si>
  <si>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</si>
  <si>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</si>
  <si>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</si>
  <si>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</si>
  <si>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</si>
  <si>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</si>
  <si>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</si>
  <si>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</si>
  <si>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</si>
  <si>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</si>
  <si>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</si>
  <si>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</si>
  <si>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</si>
  <si>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</si>
  <si>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</si>
  <si>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</si>
  <si>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</si>
  <si>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</si>
  <si>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</si>
  <si>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</si>
  <si>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</si>
  <si>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</si>
  <si>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</si>
  <si>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</si>
  <si>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</si>
  <si>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</si>
  <si>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</si>
  <si>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</si>
  <si>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</si>
  <si>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</si>
  <si>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</si>
  <si>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</si>
  <si>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</si>
  <si>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</si>
  <si>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</si>
  <si>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</si>
  <si>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</si>
  <si>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</si>
  <si>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</si>
  <si>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</si>
  <si>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</si>
  <si>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</si>
  <si>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</si>
  <si>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</si>
  <si>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</si>
  <si>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</si>
  <si>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</si>
  <si>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</si>
  <si>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</si>
  <si>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</si>
  <si>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</si>
  <si>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</si>
  <si>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</si>
  <si>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</si>
  <si>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</si>
  <si>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</si>
  <si>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</si>
  <si>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</si>
  <si>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</si>
  <si>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</si>
  <si>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</si>
  <si>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</si>
  <si>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</si>
  <si>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</si>
  <si>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</si>
  <si>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</si>
  <si>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</si>
  <si>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</si>
  <si>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</si>
  <si>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</si>
  <si>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</si>
  <si>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</si>
  <si>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</si>
  <si>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</si>
  <si>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</si>
  <si>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</si>
  <si>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</si>
  <si>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</si>
  <si>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</si>
  <si>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</si>
  <si>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</si>
  <si>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</si>
  <si>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</si>
  <si>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</si>
  <si>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</si>
  <si>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</si>
  <si>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</si>
  <si>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</si>
  <si>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</si>
  <si>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</si>
  <si>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</si>
  <si>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</si>
  <si>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</si>
  <si>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</si>
  <si>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</si>
  <si>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</si>
  <si>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</si>
  <si>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</si>
  <si>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</si>
  <si>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</si>
  <si>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</si>
  <si>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</si>
  <si>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</si>
  <si>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</si>
  <si>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</si>
  <si>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</si>
  <si>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</si>
  <si>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</si>
  <si>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</si>
  <si>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</si>
  <si>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</si>
  <si>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</si>
  <si>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</si>
  <si>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</si>
  <si>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</si>
  <si>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</si>
  <si>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</si>
  <si>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</si>
  <si>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</si>
  <si>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</si>
  <si>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</si>
  <si>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</si>
  <si>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</si>
  <si>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</si>
  <si>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</si>
  <si>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</si>
  <si>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</si>
  <si>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</si>
  <si>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</si>
  <si>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</si>
  <si>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</si>
  <si>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</si>
  <si>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</si>
  <si>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</si>
  <si>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</si>
  <si>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</si>
  <si>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</si>
  <si>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</si>
  <si>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</si>
  <si>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</si>
  <si>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</si>
  <si>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</si>
  <si>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</si>
  <si>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</si>
  <si>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</si>
  <si>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</si>
  <si>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</si>
  <si>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</si>
  <si>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</si>
  <si>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</si>
  <si>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</si>
  <si>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</si>
  <si>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</si>
  <si>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</si>
  <si>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</si>
  <si>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</si>
  <si>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</si>
  <si>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</si>
  <si>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</si>
  <si>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</si>
  <si>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</si>
  <si>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</si>
  <si>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</si>
  <si>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</si>
  <si>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</si>
  <si>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</si>
  <si>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</si>
  <si>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</si>
  <si>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</si>
  <si>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</si>
  <si>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</si>
  <si>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</si>
  <si>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</si>
  <si>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</si>
  <si>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</si>
  <si>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</si>
  <si>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</si>
  <si>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</si>
  <si>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</si>
  <si>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</si>
  <si>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</si>
  <si>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</si>
  <si>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</si>
  <si>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</si>
  <si>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</si>
  <si>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</si>
  <si>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</si>
  <si>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</si>
  <si>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</si>
  <si>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</si>
  <si>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</si>
  <si>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</si>
  <si>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</si>
  <si>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</si>
  <si>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</si>
  <si>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</si>
  <si>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</si>
  <si>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</si>
  <si>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</si>
  <si>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</si>
  <si>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</si>
  <si>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</si>
  <si>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</si>
  <si>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</si>
  <si>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</si>
  <si>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</si>
  <si>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</si>
  <si>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</si>
  <si>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</si>
  <si>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</si>
  <si>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</si>
  <si>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</si>
  <si>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</si>
  <si>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</si>
  <si>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</si>
  <si>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</si>
  <si>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</si>
  <si>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</si>
  <si>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</si>
  <si>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</si>
  <si>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</si>
  <si>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</si>
  <si>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</si>
  <si>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</si>
  <si>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</si>
  <si>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</si>
  <si>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</si>
  <si>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</si>
  <si>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</si>
  <si>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</si>
  <si>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</si>
  <si>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</si>
  <si>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</si>
  <si>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</si>
  <si>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</si>
  <si>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</si>
  <si>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</si>
  <si>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</si>
  <si>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</si>
  <si>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</si>
  <si>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</si>
  <si>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</si>
  <si>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</si>
  <si>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</si>
  <si>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</si>
  <si>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</si>
  <si>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</si>
  <si>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</si>
  <si>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</si>
  <si>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</si>
  <si>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</si>
  <si>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</si>
  <si>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</si>
  <si>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</si>
  <si>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</si>
  <si>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</si>
  <si>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</si>
  <si>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</si>
  <si>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</si>
  <si>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</si>
  <si>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</si>
  <si>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</si>
  <si>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</si>
  <si>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</si>
  <si>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</si>
  <si>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</si>
  <si>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</si>
  <si>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</si>
  <si>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</si>
  <si>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</si>
  <si>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</si>
  <si>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</si>
  <si>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</si>
  <si>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</si>
  <si>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</si>
  <si>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</si>
  <si>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</si>
  <si>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</si>
  <si>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</si>
  <si>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</si>
  <si>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</si>
  <si>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</si>
  <si>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</si>
  <si>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</si>
  <si>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</si>
  <si>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</si>
  <si>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</si>
  <si>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</si>
  <si>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</si>
  <si>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</si>
  <si>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</si>
  <si>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</si>
  <si>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</si>
  <si>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</si>
  <si>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</si>
  <si>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</si>
  <si>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</si>
  <si>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</si>
  <si>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</si>
  <si>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</si>
  <si>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</si>
  <si>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</si>
  <si>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</si>
  <si>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</si>
  <si>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</si>
  <si>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</si>
  <si>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</si>
  <si>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</si>
  <si>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</si>
  <si>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</si>
  <si>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</si>
  <si>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</si>
  <si>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</si>
  <si>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</si>
  <si>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</si>
  <si>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</si>
  <si>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</si>
  <si>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</si>
  <si>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</si>
  <si>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</si>
  <si>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</si>
  <si>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</si>
  <si>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</si>
  <si>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</si>
  <si>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</si>
  <si>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</si>
  <si>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</si>
  <si>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</si>
  <si>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</si>
  <si>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</si>
  <si>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</si>
  <si>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</si>
  <si>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</si>
  <si>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</si>
  <si>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</si>
  <si>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</si>
  <si>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</si>
  <si>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</si>
  <si>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</si>
  <si>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</si>
  <si>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</si>
  <si>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</si>
  <si>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</si>
  <si>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</si>
  <si>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</si>
  <si>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</si>
  <si>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</si>
  <si>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</si>
  <si>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</si>
  <si>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</si>
  <si>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</si>
  <si>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</si>
  <si>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</si>
  <si>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</si>
  <si>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</si>
  <si>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</si>
  <si>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</si>
  <si>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</si>
  <si>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</si>
  <si>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</si>
  <si>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</si>
  <si>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</si>
  <si>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</si>
  <si>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</si>
  <si>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</si>
  <si>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</si>
  <si>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</si>
  <si>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</si>
  <si>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</si>
  <si>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</si>
  <si>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</si>
  <si>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</si>
  <si>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</si>
  <si>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</si>
  <si>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</si>
  <si>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</si>
  <si>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</si>
  <si>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</si>
  <si>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</si>
  <si>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</si>
  <si>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</si>
  <si>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</si>
  <si>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</si>
  <si>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</si>
  <si>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</si>
  <si>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</si>
  <si>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</si>
  <si>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</si>
  <si>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</si>
  <si>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</si>
  <si>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</si>
  <si>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</si>
  <si>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</si>
  <si>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</si>
  <si>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</si>
  <si>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</si>
  <si>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</si>
  <si>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</si>
  <si>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</si>
  <si>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</si>
  <si>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</si>
  <si>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</si>
  <si>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</si>
  <si>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</si>
  <si>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</si>
  <si>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</si>
  <si>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</si>
  <si>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</si>
  <si>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</si>
  <si>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</si>
  <si>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</si>
  <si>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</si>
  <si>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</si>
  <si>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</si>
  <si>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</si>
  <si>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</si>
  <si>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</si>
  <si>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</si>
  <si>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</si>
  <si>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</si>
  <si>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</si>
  <si>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</si>
  <si>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</si>
  <si>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</si>
  <si>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</si>
  <si>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</si>
  <si>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</si>
  <si>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</si>
  <si>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</si>
  <si>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</si>
  <si>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</si>
  <si>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</si>
  <si>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</si>
  <si>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</si>
  <si>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</si>
  <si>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</si>
  <si>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</si>
  <si>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</si>
  <si>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</si>
  <si>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</si>
  <si>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</si>
  <si>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</si>
  <si>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</si>
  <si>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</si>
  <si>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</si>
  <si>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</si>
  <si>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</si>
  <si>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</si>
  <si>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</si>
  <si>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</si>
  <si>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</si>
  <si>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</si>
  <si>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</si>
  <si>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</si>
  <si>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</si>
  <si>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</si>
  <si>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</si>
  <si>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</si>
  <si>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</si>
  <si>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</si>
  <si>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</si>
  <si>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</si>
  <si>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</si>
  <si>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</si>
  <si>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</si>
  <si>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</si>
  <si>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</si>
  <si>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</si>
  <si>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</si>
  <si>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</si>
  <si>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</si>
  <si>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</si>
  <si>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</si>
  <si>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</si>
  <si>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</si>
  <si>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</si>
  <si>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</si>
  <si>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</si>
  <si>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</si>
  <si>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</si>
  <si>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</si>
  <si>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</si>
  <si>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</si>
  <si>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</si>
  <si>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</si>
  <si>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</si>
  <si>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</si>
  <si>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</si>
  <si>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</si>
  <si>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</si>
  <si>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</si>
  <si>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</si>
  <si>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</si>
  <si>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</si>
  <si>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</si>
  <si>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</si>
  <si>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</si>
  <si>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</si>
  <si>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</si>
  <si>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</si>
  <si>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</si>
  <si>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</si>
  <si>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</si>
  <si>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</si>
  <si>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</si>
  <si>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</si>
  <si>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</si>
  <si>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</si>
  <si>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</si>
  <si>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</si>
  <si>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</si>
  <si>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</si>
  <si>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</si>
  <si>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</si>
  <si>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</si>
  <si>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</si>
  <si>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</si>
  <si>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</si>
  <si>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</si>
  <si>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</si>
  <si>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</si>
  <si>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</si>
  <si>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</si>
  <si>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</si>
  <si>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</si>
  <si>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</si>
  <si>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</si>
  <si>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</si>
  <si>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</si>
  <si>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</si>
  <si>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</si>
  <si>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</si>
  <si>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</si>
  <si>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</si>
  <si>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</si>
  <si>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</si>
  <si>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</si>
  <si>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</si>
  <si>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</si>
  <si>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</si>
  <si>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</si>
  <si>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</si>
  <si>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</si>
  <si>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</si>
  <si>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</si>
  <si>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</si>
  <si>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</si>
  <si>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</si>
  <si>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</si>
  <si>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</si>
  <si>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</si>
  <si>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</si>
  <si>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</si>
  <si>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</si>
  <si>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</si>
  <si>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</si>
  <si>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</si>
  <si>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</si>
  <si>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</si>
  <si>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</si>
  <si>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</si>
  <si>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</si>
  <si>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</si>
  <si>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</si>
  <si>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</si>
  <si>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</si>
  <si>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</si>
  <si>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</si>
  <si>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</si>
  <si>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</si>
  <si>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</si>
  <si>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</si>
  <si>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</si>
  <si>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</si>
  <si>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</si>
  <si>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</si>
  <si>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</si>
  <si>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</si>
  <si>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</si>
  <si>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</si>
  <si>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</si>
  <si>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</si>
  <si>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</si>
  <si>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</si>
  <si>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</si>
  <si>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</si>
  <si>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</si>
  <si>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</si>
  <si>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</si>
  <si>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</si>
  <si>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</si>
  <si>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</si>
  <si>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</si>
  <si>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</si>
  <si>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</si>
  <si>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</si>
  <si>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</si>
  <si>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</si>
  <si>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</si>
  <si>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</si>
  <si>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</si>
  <si>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</si>
  <si>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</si>
  <si>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</si>
  <si>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</si>
  <si>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</si>
  <si>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</si>
  <si>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</si>
  <si>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</si>
  <si>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</si>
  <si>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</si>
  <si>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</si>
  <si>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</si>
  <si>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</si>
  <si>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</si>
  <si>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</si>
  <si>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</si>
  <si>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</si>
  <si>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</si>
  <si>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</si>
  <si>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</si>
  <si>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</si>
  <si>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</si>
  <si>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</si>
  <si>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</si>
  <si>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</si>
  <si>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</si>
  <si>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</si>
  <si>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</si>
  <si>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</si>
  <si>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</si>
  <si>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</si>
  <si>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</si>
  <si>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</si>
  <si>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</si>
  <si>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</si>
  <si>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</si>
  <si>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</si>
  <si>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</si>
  <si>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</si>
  <si>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</si>
  <si>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</si>
  <si>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</si>
  <si>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</si>
  <si>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</si>
  <si>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</si>
  <si>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</si>
  <si>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</si>
  <si>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</si>
  <si>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</si>
  <si>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</si>
  <si>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</si>
  <si>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</si>
  <si>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</si>
  <si>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</si>
  <si>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</si>
  <si>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</si>
  <si>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</si>
  <si>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</si>
  <si>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</si>
  <si>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</si>
  <si>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</si>
  <si>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</si>
  <si>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</si>
  <si>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</si>
  <si>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</si>
  <si>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</si>
  <si>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</si>
  <si>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</si>
  <si>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</si>
  <si>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</si>
  <si>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</si>
  <si>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</si>
  <si>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</si>
  <si>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</si>
  <si>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</si>
  <si>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</si>
  <si>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</si>
  <si>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</si>
  <si>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</si>
  <si>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</si>
  <si>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</si>
  <si>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</si>
  <si>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</si>
  <si>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</si>
  <si>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</si>
  <si>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</si>
  <si>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</si>
  <si>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</si>
  <si>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</si>
  <si>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</si>
  <si>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</si>
  <si>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</si>
  <si>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</si>
  <si>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</si>
  <si>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</si>
  <si>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</si>
  <si>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</si>
  <si>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</si>
  <si>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</si>
  <si>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</si>
  <si>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</si>
  <si>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</si>
  <si>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</si>
  <si>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</si>
  <si>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</si>
  <si>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</si>
  <si>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</si>
  <si>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</si>
  <si>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</si>
  <si>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</si>
  <si>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</si>
  <si>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</si>
  <si>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</si>
  <si>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</si>
  <si>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</si>
  <si>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</si>
  <si>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</si>
  <si>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</si>
  <si>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</si>
  <si>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</si>
  <si>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</si>
  <si>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</si>
  <si>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</si>
  <si>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</si>
  <si>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</si>
  <si>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</si>
  <si>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</si>
  <si>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</si>
  <si>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</si>
  <si>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</si>
  <si>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</si>
  <si>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</si>
  <si>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</si>
  <si>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</si>
  <si>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</si>
  <si>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</si>
  <si>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</si>
  <si>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</si>
  <si>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</si>
  <si>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</si>
  <si>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</si>
  <si>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</si>
  <si>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</si>
  <si>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</si>
  <si>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</si>
  <si>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</si>
  <si>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</si>
  <si>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</si>
  <si>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</si>
  <si>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</si>
  <si>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</si>
  <si>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</si>
  <si>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</si>
  <si>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</si>
  <si>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</si>
  <si>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</si>
  <si>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</si>
  <si>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</si>
  <si>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</si>
  <si>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</si>
  <si>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</si>
  <si>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</si>
  <si>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</si>
  <si>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</si>
  <si>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</si>
  <si>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</si>
  <si>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</si>
  <si>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</si>
  <si>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</si>
  <si>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</si>
  <si>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</si>
  <si>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</si>
  <si>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</si>
  <si>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</si>
  <si>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</si>
  <si>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</si>
  <si>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</si>
  <si>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</si>
  <si>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</si>
  <si>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</si>
  <si>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</si>
  <si>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</si>
  <si>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</si>
  <si>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</si>
  <si>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</si>
  <si>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</si>
  <si>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</si>
  <si>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</si>
  <si>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</si>
  <si>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</si>
  <si>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</si>
  <si>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</si>
  <si>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</si>
  <si>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</si>
  <si>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</si>
  <si>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</si>
  <si>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</si>
  <si>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</si>
  <si>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</si>
  <si>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</si>
  <si>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</si>
  <si>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</si>
  <si>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</si>
  <si>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</si>
  <si>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</si>
  <si>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</si>
  <si>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</si>
  <si>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</si>
  <si>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</si>
  <si>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</si>
  <si>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</si>
  <si>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</si>
  <si>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</si>
  <si>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</si>
  <si>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</si>
  <si>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</si>
  <si>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</si>
  <si>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</si>
  <si>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</si>
  <si>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</si>
  <si>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</si>
  <si>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</si>
  <si>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</si>
  <si>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</si>
  <si>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</si>
  <si>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</si>
  <si>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</si>
  <si>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</si>
  <si>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</si>
  <si>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</si>
  <si>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</si>
  <si>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</si>
  <si>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</si>
  <si>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</si>
  <si>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</si>
  <si>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</si>
  <si>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</si>
  <si>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</si>
  <si>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</si>
  <si>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</si>
  <si>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</si>
  <si>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</si>
  <si>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</si>
  <si>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</si>
  <si>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</si>
  <si>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</si>
  <si>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</si>
  <si>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</si>
  <si>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</si>
  <si>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</si>
  <si>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</si>
  <si>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</si>
  <si>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</si>
  <si>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</si>
  <si>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</si>
  <si>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</si>
  <si>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</si>
  <si>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</si>
  <si>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</si>
  <si>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</si>
  <si>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</si>
  <si>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</si>
  <si>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</si>
  <si>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</si>
  <si>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</si>
  <si>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</si>
  <si>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</si>
  <si>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</si>
  <si>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</si>
  <si>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</si>
  <si>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</si>
  <si>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</si>
  <si>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</si>
  <si>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</si>
  <si>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</si>
  <si>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</si>
  <si>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</si>
  <si>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</si>
  <si>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</si>
  <si>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</si>
  <si>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</si>
  <si>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</si>
  <si>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</si>
  <si>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</si>
  <si>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</si>
  <si>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</si>
  <si>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</si>
  <si>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</si>
  <si>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</si>
  <si>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</si>
  <si>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</si>
  <si>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</si>
  <si>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</si>
  <si>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</si>
  <si>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</si>
  <si>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</si>
  <si>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</si>
  <si>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</si>
  <si>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</si>
  <si>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</si>
  <si>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</si>
  <si>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</si>
  <si>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</si>
  <si>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</si>
  <si>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</si>
  <si>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</si>
  <si>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</si>
  <si>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</si>
  <si>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</si>
  <si>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</si>
  <si>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</si>
  <si>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</si>
  <si>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</si>
  <si>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</si>
  <si>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</si>
  <si>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</si>
  <si>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</si>
  <si>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</si>
  <si>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</si>
  <si>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</si>
  <si>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</si>
  <si>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</si>
  <si>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</si>
  <si>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</si>
  <si>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</si>
  <si>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</si>
  <si>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</si>
  <si>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</si>
  <si>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</si>
  <si>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</si>
  <si>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</si>
  <si>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</si>
  <si>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</si>
  <si>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</si>
  <si>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</si>
  <si>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</si>
  <si>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</si>
  <si>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</si>
  <si>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</si>
  <si>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</si>
  <si>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</si>
  <si>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</si>
  <si>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</si>
  <si>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</si>
  <si>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</si>
  <si>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</si>
  <si>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</si>
  <si>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</si>
  <si>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</si>
  <si>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</si>
  <si>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</si>
  <si>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</si>
  <si>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</si>
  <si>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</si>
  <si>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</si>
  <si>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</si>
  <si>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</si>
  <si>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</si>
  <si>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</si>
  <si>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</si>
  <si>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</si>
  <si>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</si>
  <si>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</si>
  <si>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</si>
  <si>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</si>
  <si>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</si>
  <si>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</si>
  <si>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</si>
  <si>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</si>
  <si>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</si>
  <si>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</si>
  <si>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</si>
  <si>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</si>
  <si>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</si>
  <si>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</si>
  <si>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</si>
  <si>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</si>
  <si>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</si>
  <si>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</si>
  <si>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</si>
  <si>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</si>
  <si>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</si>
  <si>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</si>
  <si>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</si>
  <si>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</si>
  <si>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</si>
  <si>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</si>
  <si>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</si>
  <si>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</si>
  <si>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</si>
  <si>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</si>
  <si>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</si>
  <si>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</si>
  <si>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</si>
  <si>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</si>
  <si>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</si>
  <si>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</si>
  <si>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</si>
  <si>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</si>
  <si>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</si>
  <si>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</si>
  <si>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</si>
  <si>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</si>
  <si>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</si>
  <si>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</si>
  <si>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</si>
  <si>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</si>
  <si>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</si>
  <si>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</si>
  <si>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</si>
  <si>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</si>
  <si>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</si>
  <si>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</si>
  <si>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</si>
  <si>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</si>
  <si>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</si>
  <si>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</si>
  <si>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</si>
  <si>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</si>
  <si>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</si>
  <si>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</si>
  <si>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</si>
  <si>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</si>
  <si>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</si>
  <si>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</si>
  <si>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</si>
  <si>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</si>
  <si>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</si>
  <si>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</si>
  <si>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</si>
  <si>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</si>
  <si>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</si>
  <si>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</si>
  <si>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</si>
  <si>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</si>
  <si>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</si>
  <si>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</si>
  <si>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</si>
  <si>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</si>
  <si>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</si>
  <si>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</si>
  <si>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</si>
  <si>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</si>
  <si>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</si>
  <si>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</si>
  <si>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</si>
  <si>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</si>
  <si>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</si>
  <si>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</si>
  <si>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</si>
  <si>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</si>
  <si>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</si>
  <si>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</si>
  <si>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</si>
  <si>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</si>
  <si>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</si>
  <si>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</si>
  <si>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</si>
  <si>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</si>
  <si>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</si>
  <si>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</si>
  <si>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</si>
  <si>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</si>
  <si>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</si>
  <si>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</si>
  <si>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</si>
  <si>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</si>
  <si>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</si>
  <si>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</si>
  <si>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</si>
  <si>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</si>
  <si>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</si>
  <si>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</si>
  <si>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</si>
  <si>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</si>
  <si>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</si>
  <si>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</si>
  <si>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</si>
  <si>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</si>
  <si>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</si>
  <si>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</si>
  <si>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</si>
  <si>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</si>
  <si>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</si>
  <si>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</si>
  <si>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</si>
  <si>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</si>
  <si>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</si>
  <si>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</si>
  <si>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</si>
  <si>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</si>
  <si>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</si>
  <si>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</si>
  <si>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</si>
  <si>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</si>
  <si>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</si>
  <si>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</si>
  <si>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</si>
  <si>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</si>
  <si>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</si>
  <si>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</si>
  <si>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</si>
  <si>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</si>
  <si>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</si>
  <si>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</si>
  <si>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</si>
  <si>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</si>
  <si>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</si>
  <si>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</si>
  <si>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</si>
  <si>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</si>
  <si>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</si>
  <si>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</si>
  <si>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</si>
  <si>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</si>
  <si>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</si>
  <si>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</si>
  <si>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</si>
  <si>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</si>
  <si>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</si>
  <si>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</si>
  <si>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</si>
  <si>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</si>
  <si>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</si>
  <si>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</si>
  <si>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</si>
  <si>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</si>
  <si>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</si>
  <si>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</si>
  <si>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</si>
  <si>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</si>
  <si>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</si>
  <si>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</si>
  <si>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</si>
  <si>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</si>
  <si>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</si>
  <si>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</si>
  <si>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</si>
  <si>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</si>
  <si>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</si>
  <si>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</si>
  <si>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</si>
  <si>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</si>
  <si>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</si>
  <si>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</si>
  <si>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</si>
  <si>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</si>
  <si>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</si>
  <si>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</si>
  <si>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</si>
  <si>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</si>
  <si>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</si>
  <si>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</si>
  <si>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</si>
  <si>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</si>
  <si>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</si>
  <si>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</si>
  <si>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</si>
  <si>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</si>
  <si>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</si>
  <si>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</si>
  <si>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</si>
  <si>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</si>
  <si>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</si>
  <si>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</si>
  <si>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</si>
  <si>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</si>
  <si>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</si>
  <si>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</si>
  <si>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</si>
  <si>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</si>
  <si>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</si>
  <si>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</si>
  <si>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</si>
  <si>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</si>
  <si>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</si>
  <si>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</si>
  <si>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</si>
  <si>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</si>
  <si>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</si>
  <si>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</si>
  <si>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</si>
  <si>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</si>
  <si>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</si>
  <si>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</si>
  <si>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</si>
  <si>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</si>
  <si>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</si>
  <si>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</si>
  <si>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</si>
  <si>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</si>
  <si>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</si>
  <si>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</si>
  <si>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</si>
  <si>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</si>
  <si>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</si>
  <si>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</si>
  <si>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</si>
  <si>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</si>
  <si>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</si>
  <si>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</si>
  <si>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</si>
  <si>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</si>
  <si>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</si>
  <si>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</si>
  <si>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</si>
  <si>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</si>
  <si>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</si>
  <si>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</si>
  <si>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</si>
  <si>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</si>
  <si>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</si>
  <si>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</si>
  <si>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</si>
  <si>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</si>
  <si>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</si>
  <si>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</si>
  <si>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</si>
  <si>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</si>
  <si>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</si>
  <si>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</si>
  <si>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</si>
  <si>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</si>
  <si>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</si>
  <si>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</si>
  <si>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</si>
  <si>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</si>
  <si>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</si>
  <si>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</si>
  <si>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</si>
  <si>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</si>
  <si>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</si>
  <si>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</si>
  <si>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</si>
  <si>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</si>
  <si>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</si>
  <si>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</si>
  <si>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</si>
  <si>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</si>
  <si>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</si>
  <si>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</si>
  <si>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</si>
  <si>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</si>
  <si>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</si>
  <si>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</si>
  <si>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</si>
  <si>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</si>
  <si>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</si>
  <si>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</si>
  <si>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</si>
  <si>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</si>
  <si>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</si>
  <si>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</si>
  <si>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</si>
  <si>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</si>
  <si>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</si>
  <si>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</si>
  <si>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</si>
  <si>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</si>
  <si>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</si>
  <si>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</si>
  <si>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</si>
  <si>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</si>
  <si>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</si>
  <si>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</si>
  <si>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</si>
  <si>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</si>
  <si>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</si>
  <si>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</si>
  <si>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</si>
  <si>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</si>
  <si>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</si>
  <si>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</si>
  <si>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</si>
  <si>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</si>
  <si>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</si>
  <si>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</si>
  <si>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</si>
  <si>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</si>
  <si>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</si>
  <si>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</si>
  <si>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</si>
  <si>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</si>
  <si>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</si>
  <si>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</si>
  <si>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</si>
  <si>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</si>
  <si>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</si>
  <si>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</si>
  <si>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</si>
  <si>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</si>
  <si>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</si>
  <si>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</si>
  <si>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</si>
  <si>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</si>
  <si>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</si>
  <si>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</si>
  <si>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</si>
  <si>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</si>
  <si>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</si>
  <si>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</si>
  <si>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</si>
  <si>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</si>
  <si>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</si>
  <si>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</si>
  <si>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</si>
  <si>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</si>
  <si>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</si>
  <si>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</si>
  <si>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</si>
  <si>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</si>
  <si>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</si>
  <si>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</si>
  <si>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</si>
  <si>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</si>
  <si>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</si>
  <si>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</si>
  <si>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</si>
  <si>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</si>
  <si>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</si>
  <si>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</si>
  <si>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</si>
  <si>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</si>
  <si>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</si>
  <si>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</si>
  <si>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</si>
  <si>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</si>
  <si>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</si>
  <si>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</si>
  <si>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</si>
  <si>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</si>
  <si>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</si>
  <si>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</si>
  <si>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</si>
  <si>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</si>
  <si>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</si>
  <si>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</si>
  <si>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</si>
  <si>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</si>
  <si>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</si>
  <si>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</si>
  <si>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</si>
  <si>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</si>
  <si>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</si>
  <si>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</si>
  <si>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</si>
  <si>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</si>
  <si>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</si>
  <si>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</si>
  <si>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</si>
  <si>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</si>
  <si>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</si>
  <si>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</si>
  <si>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</si>
  <si>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</si>
  <si>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</si>
  <si>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</si>
  <si>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</si>
  <si>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</si>
  <si>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</si>
  <si>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</si>
  <si>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</si>
  <si>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</si>
  <si>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</si>
  <si>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</si>
  <si>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</si>
  <si>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</si>
  <si>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</si>
  <si>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</si>
  <si>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</si>
  <si>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</si>
  <si>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</si>
  <si>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</si>
  <si>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</si>
  <si>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</si>
  <si>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</si>
  <si>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</si>
  <si>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</si>
  <si>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</si>
  <si>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</si>
  <si>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</si>
  <si>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</si>
  <si>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</si>
  <si>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</si>
  <si>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</si>
  <si>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</si>
  <si>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</si>
  <si>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</si>
  <si>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</si>
  <si>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</si>
  <si>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</si>
  <si>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</si>
  <si>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</si>
  <si>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</si>
  <si>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</si>
  <si>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</si>
  <si>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</si>
  <si>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</si>
  <si>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</si>
  <si>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</si>
  <si>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</si>
  <si>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</si>
  <si>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</si>
  <si>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</si>
  <si>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</si>
  <si>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</si>
  <si>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</si>
  <si>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</si>
  <si>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</si>
  <si>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</si>
  <si>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</si>
  <si>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</si>
  <si>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</si>
  <si>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</si>
  <si>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</si>
  <si>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</si>
  <si>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</si>
  <si>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</si>
  <si>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</si>
  <si>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</si>
  <si>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</si>
  <si>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</si>
  <si>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</si>
  <si>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</si>
  <si>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</si>
  <si>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</si>
  <si>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</si>
  <si>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</si>
  <si>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</si>
  <si>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</si>
  <si>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</si>
  <si>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</si>
  <si>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</si>
  <si>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</si>
  <si>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</si>
  <si>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</si>
  <si>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</si>
  <si>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</si>
  <si>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</si>
  <si>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</si>
  <si>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</si>
  <si>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</si>
  <si>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</si>
  <si>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</si>
  <si>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</si>
  <si>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</si>
  <si>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</si>
  <si>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</si>
  <si>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</si>
  <si>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</si>
  <si>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</si>
  <si>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</si>
  <si>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</si>
  <si>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</si>
  <si>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</si>
  <si>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</si>
  <si>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</si>
  <si>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</si>
  <si>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</si>
  <si>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</si>
  <si>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</si>
  <si>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</si>
  <si>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</si>
  <si>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</si>
  <si>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</si>
  <si>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</si>
  <si>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</si>
  <si>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</si>
  <si>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</si>
  <si>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</si>
  <si>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</si>
  <si>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</si>
  <si>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</si>
  <si>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</si>
  <si>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</si>
  <si>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</si>
  <si>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</si>
  <si>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</si>
  <si>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</si>
  <si>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</si>
  <si>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</si>
  <si>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</si>
  <si>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</si>
  <si>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</si>
  <si>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</si>
  <si>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</si>
  <si>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</si>
  <si>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</si>
  <si>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</si>
  <si>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</si>
  <si>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</si>
  <si>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</si>
  <si>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</si>
  <si>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</si>
  <si>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</si>
  <si>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</si>
  <si>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</si>
  <si>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</si>
  <si>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</si>
  <si>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</si>
  <si>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</si>
  <si>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</si>
  <si>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</si>
  <si>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</si>
  <si>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</si>
  <si>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</si>
  <si>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</si>
  <si>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</si>
  <si>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</si>
  <si>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</si>
  <si>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</si>
  <si>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</si>
  <si>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</si>
  <si>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</si>
  <si>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</si>
  <si>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</si>
  <si>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</si>
  <si>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</si>
  <si>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</si>
  <si>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</si>
  <si>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</si>
  <si>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</si>
  <si>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</si>
  <si>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</si>
  <si>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</si>
  <si>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</si>
  <si>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</si>
  <si>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</si>
  <si>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</si>
  <si>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</si>
  <si>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</si>
  <si>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</si>
  <si>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</si>
  <si>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</si>
  <si>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</si>
  <si>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</si>
  <si>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</si>
  <si>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</si>
  <si>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</si>
  <si>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</si>
  <si>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</si>
  <si>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</si>
  <si>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</si>
  <si>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</si>
  <si>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</si>
  <si>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</si>
  <si>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</si>
  <si>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</si>
  <si>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</si>
  <si>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</si>
  <si>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</si>
  <si>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</si>
  <si>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</si>
  <si>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</si>
  <si>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</si>
  <si>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</si>
  <si>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</si>
  <si>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</si>
  <si>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</si>
  <si>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</si>
  <si>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</si>
  <si>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</si>
  <si>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</si>
  <si>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</si>
  <si>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</si>
  <si>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</si>
  <si>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</si>
  <si>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</si>
  <si>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</si>
  <si>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</si>
  <si>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</si>
  <si>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</si>
  <si>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</si>
  <si>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</si>
  <si>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</si>
  <si>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</si>
  <si>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</si>
  <si>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</si>
  <si>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</si>
  <si>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</si>
  <si>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</si>
  <si>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</si>
  <si>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</si>
  <si>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</si>
  <si>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</si>
  <si>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</si>
  <si>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</si>
  <si>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</si>
  <si>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</si>
  <si>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</si>
  <si>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</si>
  <si>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</si>
  <si>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</si>
  <si>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</si>
  <si>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</si>
  <si>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</si>
  <si>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</si>
  <si>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</si>
  <si>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</si>
  <si>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</si>
  <si>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</si>
  <si>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</si>
  <si>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</si>
  <si>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</si>
  <si>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</si>
  <si>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</si>
  <si>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</si>
  <si>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</si>
  <si>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</si>
  <si>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</si>
  <si>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</si>
  <si>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</si>
  <si>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</si>
  <si>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</si>
  <si>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</si>
  <si>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</si>
  <si>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</si>
  <si>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</si>
  <si>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</si>
  <si>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</si>
  <si>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</si>
  <si>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</si>
  <si>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</si>
  <si>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</si>
  <si>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</si>
  <si>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</si>
  <si>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</si>
  <si>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</si>
  <si>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</si>
  <si>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</si>
  <si>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</si>
  <si>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</si>
  <si>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</si>
  <si>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</si>
  <si>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</si>
  <si>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</si>
  <si>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</si>
  <si>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</si>
  <si>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</si>
  <si>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</si>
  <si>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</si>
  <si>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</si>
  <si>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</si>
  <si>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</si>
  <si>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</si>
  <si>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</si>
  <si>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</si>
  <si>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</si>
  <si>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</si>
  <si>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</si>
  <si>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</si>
  <si>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</si>
  <si>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</si>
  <si>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</si>
  <si>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</si>
  <si>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</si>
  <si>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</si>
  <si>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</si>
  <si>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</si>
  <si>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</si>
  <si>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</si>
  <si>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</si>
  <si>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</si>
  <si>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</si>
  <si>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</si>
  <si>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</si>
  <si>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</si>
  <si>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</si>
  <si>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</si>
  <si>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</si>
  <si>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</si>
  <si>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</si>
  <si>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</si>
  <si>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</si>
  <si>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</si>
  <si>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</si>
  <si>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</si>
  <si>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</si>
  <si>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</si>
  <si>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</si>
  <si>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</si>
  <si>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</si>
  <si>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</si>
  <si>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</si>
  <si>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</si>
  <si>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</si>
  <si>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</si>
  <si>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</si>
  <si>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</si>
  <si>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</si>
  <si>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</si>
  <si>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</si>
  <si>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</si>
  <si>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</si>
  <si>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</si>
  <si>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</si>
  <si>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</si>
  <si>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</si>
  <si>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</si>
  <si>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</si>
  <si>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</si>
  <si>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</si>
  <si>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</si>
  <si>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</si>
  <si>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</si>
  <si>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</si>
  <si>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</si>
  <si>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</si>
  <si>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</si>
  <si>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</si>
  <si>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</si>
  <si>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</si>
  <si>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</si>
  <si>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</si>
  <si>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</si>
  <si>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</si>
  <si>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</si>
  <si>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</si>
  <si>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</si>
  <si>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</si>
  <si>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</si>
  <si>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</si>
  <si>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</si>
  <si>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</si>
  <si>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</si>
  <si>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</si>
  <si>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</si>
  <si>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</si>
  <si>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</si>
  <si>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</si>
  <si>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</si>
  <si>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</si>
  <si>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</si>
  <si>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</si>
  <si>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</si>
  <si>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</si>
  <si>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</si>
  <si>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</si>
  <si>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</si>
  <si>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</si>
  <si>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</si>
  <si>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</si>
  <si>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</si>
  <si>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</si>
  <si>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</si>
  <si>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</si>
  <si>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</si>
  <si>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</si>
  <si>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</si>
  <si>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</si>
  <si>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</si>
  <si>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</si>
  <si>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</si>
  <si>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</si>
  <si>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</si>
  <si>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</si>
  <si>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</si>
  <si>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</si>
  <si>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</si>
  <si>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</si>
  <si>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</si>
  <si>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</si>
  <si>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</si>
  <si>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</si>
  <si>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</si>
  <si>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</si>
  <si>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</si>
  <si>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</si>
  <si>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</si>
  <si>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</si>
  <si>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</si>
  <si>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</si>
  <si>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</si>
  <si>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</si>
  <si>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</si>
  <si>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</si>
  <si>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</si>
  <si>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</si>
  <si>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</si>
  <si>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</si>
  <si>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</si>
  <si>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</si>
  <si>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</si>
  <si>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</si>
  <si>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</si>
  <si>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</si>
  <si>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</si>
  <si>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</si>
  <si>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</si>
  <si>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</si>
  <si>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</si>
  <si>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</si>
  <si>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</si>
  <si>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</si>
  <si>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</si>
  <si>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</si>
  <si>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</si>
  <si>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</si>
  <si>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</si>
  <si>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</si>
  <si>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</si>
  <si>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</si>
  <si>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</si>
  <si>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</si>
  <si>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</si>
  <si>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</si>
  <si>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</si>
  <si>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</si>
  <si>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</si>
  <si>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</si>
  <si>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</si>
  <si>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</si>
  <si>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</si>
  <si>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</si>
  <si>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</si>
  <si>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</si>
  <si>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</si>
  <si>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</si>
  <si>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</si>
  <si>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</si>
  <si>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</si>
  <si>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</si>
  <si>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</si>
  <si>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</si>
  <si>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</si>
  <si>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</si>
  <si>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</si>
  <si>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</si>
  <si>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</si>
  <si>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</si>
  <si>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</si>
  <si>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</si>
  <si>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</si>
  <si>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</si>
  <si>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</si>
  <si>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</si>
  <si>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</si>
  <si>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</si>
  <si>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</si>
  <si>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</si>
  <si>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</si>
  <si>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</si>
  <si>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</si>
  <si>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</si>
  <si>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</si>
  <si>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</si>
  <si>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</si>
  <si>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</si>
  <si>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</si>
  <si>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</si>
  <si>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</si>
  <si>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</si>
  <si>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</si>
  <si>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</si>
  <si>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</si>
  <si>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</si>
  <si>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</si>
  <si>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</si>
  <si>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</si>
  <si>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</si>
  <si>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</si>
  <si>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</si>
  <si>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</si>
  <si>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</si>
  <si>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</si>
  <si>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</si>
  <si>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</si>
  <si>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</si>
  <si>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</si>
  <si>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</si>
  <si>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</si>
  <si>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</si>
  <si>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</si>
  <si>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</si>
  <si>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</si>
  <si>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</si>
  <si>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</si>
  <si>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</si>
  <si>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</si>
  <si>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</si>
  <si>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</si>
  <si>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</si>
  <si>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</si>
  <si>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</si>
  <si>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</si>
  <si>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</si>
  <si>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</si>
  <si>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</si>
  <si>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</si>
  <si>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</si>
  <si>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</si>
  <si>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</si>
  <si>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</si>
  <si>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</si>
  <si>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</si>
  <si>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</si>
  <si>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</si>
  <si>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</si>
  <si>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</si>
  <si>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</si>
  <si>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</si>
  <si>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</si>
  <si>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</si>
  <si>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</si>
  <si>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</si>
  <si>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</si>
  <si>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</si>
  <si>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</si>
  <si>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</si>
  <si>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</si>
  <si>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</si>
  <si>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</si>
  <si>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</si>
  <si>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</si>
  <si>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</si>
  <si>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</si>
  <si>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</si>
  <si>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</si>
  <si>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</si>
  <si>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</si>
  <si>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</si>
  <si>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</si>
  <si>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</si>
  <si>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</si>
  <si>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</si>
  <si>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</si>
  <si>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</si>
  <si>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</si>
  <si>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</si>
  <si>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</si>
  <si>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</si>
  <si>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</si>
  <si>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</si>
  <si>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</si>
  <si>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</si>
  <si>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</si>
  <si>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</si>
  <si>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</si>
  <si>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</si>
  <si>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</si>
  <si>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</si>
  <si>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</si>
  <si>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</si>
  <si>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</si>
  <si>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</si>
  <si>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</si>
  <si>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</si>
  <si>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</si>
  <si>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</si>
  <si>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</si>
  <si>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</si>
  <si>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</si>
  <si>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</si>
  <si>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</si>
  <si>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</si>
  <si>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</si>
  <si>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</si>
  <si>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</si>
  <si>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</si>
  <si>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</si>
  <si>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</si>
  <si>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</si>
  <si>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</si>
  <si>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</si>
  <si>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</si>
  <si>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</si>
  <si>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</si>
  <si>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</si>
  <si>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</si>
  <si>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</si>
  <si>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</si>
  <si>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</si>
  <si>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</si>
  <si>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</si>
  <si>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</si>
  <si>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</si>
  <si>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</si>
  <si>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</si>
  <si>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</si>
  <si>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</si>
  <si>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</si>
  <si>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</si>
  <si>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</si>
  <si>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</si>
  <si>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</si>
  <si>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</si>
  <si>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</si>
  <si>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</si>
  <si>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</si>
  <si>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</si>
  <si>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</si>
  <si>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</si>
  <si>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</si>
  <si>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</si>
  <si>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</si>
  <si>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</si>
  <si>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</si>
  <si>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</si>
  <si>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</si>
  <si>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</si>
  <si>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</si>
  <si>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</si>
  <si>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</si>
  <si>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</si>
  <si>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</si>
  <si>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</si>
  <si>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</si>
  <si>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</si>
  <si>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</si>
  <si>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</si>
  <si>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</si>
  <si>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</si>
  <si>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</si>
  <si>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</si>
  <si>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</si>
  <si>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</si>
  <si>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</si>
  <si>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</si>
  <si>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</si>
  <si>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</si>
  <si>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</si>
  <si>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</si>
  <si>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</si>
  <si>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</si>
  <si>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</si>
  <si>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</si>
  <si>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</si>
  <si>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</si>
  <si>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</si>
  <si>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</si>
  <si>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</si>
  <si>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</si>
  <si>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</si>
  <si>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</si>
  <si>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</si>
  <si>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</si>
  <si>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</si>
  <si>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</si>
  <si>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</si>
  <si>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</si>
  <si>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</si>
  <si>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</si>
  <si>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</si>
  <si>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</si>
  <si>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</si>
  <si>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</si>
  <si>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</si>
  <si>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</si>
  <si>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</si>
  <si>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</si>
  <si>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</si>
  <si>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</si>
  <si>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</si>
  <si>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</si>
  <si>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</si>
  <si>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</si>
  <si>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</si>
  <si>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</si>
  <si>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</si>
  <si>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</si>
  <si>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</si>
  <si>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</si>
  <si>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</si>
  <si>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</si>
  <si>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</si>
  <si>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</si>
  <si>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</si>
  <si>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</si>
  <si>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</si>
  <si>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</si>
  <si>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</si>
  <si>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</si>
  <si>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</si>
  <si>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</si>
  <si>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</si>
  <si>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</si>
  <si>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</si>
  <si>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</si>
  <si>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</si>
  <si>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</si>
  <si>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</si>
  <si>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</si>
  <si>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</si>
  <si>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</si>
  <si>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</si>
  <si>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</si>
  <si>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</si>
  <si>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</si>
  <si>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</si>
  <si>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</si>
  <si>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</si>
  <si>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</si>
  <si>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</si>
  <si>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</si>
  <si>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</si>
  <si>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</si>
  <si>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</si>
  <si>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</si>
  <si>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</si>
  <si>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</si>
  <si>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</si>
  <si>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</si>
  <si>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</si>
  <si>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</si>
  <si>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</si>
  <si>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</si>
  <si>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</si>
  <si>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</si>
  <si>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</si>
  <si>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</si>
  <si>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</si>
  <si>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</si>
  <si>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</si>
  <si>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</si>
  <si>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</si>
  <si>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</si>
  <si>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</si>
  <si>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</si>
  <si>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</si>
  <si>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</si>
  <si>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</si>
  <si>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</si>
  <si>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</si>
  <si>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</si>
  <si>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</si>
  <si>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</si>
  <si>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</si>
  <si>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</si>
  <si>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</si>
  <si>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</si>
  <si>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</si>
  <si>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</si>
  <si>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</si>
  <si>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</si>
  <si>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</si>
  <si>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</si>
  <si>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</si>
  <si>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</si>
  <si>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</si>
  <si>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</si>
  <si>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</si>
  <si>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</si>
  <si>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</si>
  <si>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</si>
  <si>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</si>
  <si>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</si>
  <si>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</si>
  <si>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</si>
  <si>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</si>
  <si>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</si>
  <si>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</si>
  <si>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</si>
  <si>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</si>
  <si>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</si>
  <si>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</si>
  <si>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</si>
  <si>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</si>
  <si>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</si>
  <si>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</si>
  <si>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</si>
  <si>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</si>
  <si>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</si>
  <si>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</si>
  <si>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</si>
  <si>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</si>
  <si>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</si>
  <si>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</si>
  <si>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</si>
  <si>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</si>
  <si>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</si>
  <si>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</si>
  <si>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</si>
  <si>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</si>
  <si>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</si>
  <si>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</si>
  <si>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</si>
  <si>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</si>
  <si>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</si>
  <si>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</si>
  <si>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</si>
  <si>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</si>
  <si>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</si>
  <si>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</si>
  <si>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</si>
  <si>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</si>
  <si>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</si>
  <si>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</si>
  <si>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</si>
  <si>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</si>
  <si>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</si>
  <si>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</si>
  <si>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</si>
  <si>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</si>
  <si>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</si>
  <si>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</si>
  <si>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</si>
  <si>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</si>
  <si>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</si>
  <si>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</si>
  <si>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</si>
  <si>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</si>
  <si>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</si>
  <si>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</si>
  <si>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</si>
  <si>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</si>
  <si>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</si>
  <si>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</si>
  <si>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</si>
  <si>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</si>
  <si>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</si>
  <si>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</si>
  <si>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</si>
  <si>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</si>
  <si>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</si>
  <si>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</si>
  <si>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</si>
  <si>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</si>
  <si>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</si>
  <si>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</si>
  <si>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</si>
  <si>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</si>
  <si>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</si>
  <si>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</si>
  <si>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</si>
  <si>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</si>
  <si>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</si>
  <si>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</si>
  <si>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</si>
  <si>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</si>
  <si>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</si>
  <si>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</si>
  <si>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</si>
  <si>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</si>
  <si>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</si>
  <si>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</si>
  <si>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</si>
  <si>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</si>
  <si>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</si>
  <si>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</si>
  <si>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</si>
  <si>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</si>
  <si>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</si>
  <si>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</si>
  <si>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</si>
  <si>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</si>
  <si>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</si>
  <si>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</si>
  <si>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</si>
  <si>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</si>
  <si>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</si>
  <si>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</si>
  <si>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</si>
  <si>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</si>
  <si>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</si>
  <si>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</si>
  <si>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</si>
  <si>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</si>
  <si>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</si>
  <si>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</si>
  <si>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</si>
  <si>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</si>
  <si>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</si>
  <si>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</si>
  <si>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</si>
  <si>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</si>
  <si>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</si>
  <si>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</si>
  <si>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</si>
  <si>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</si>
  <si>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</si>
  <si>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</si>
  <si>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</si>
  <si>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</si>
  <si>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</si>
  <si>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</si>
  <si>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</si>
  <si>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</si>
  <si>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</si>
  <si>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</si>
  <si>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</si>
  <si>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</si>
  <si>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</si>
  <si>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</si>
  <si>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</si>
  <si>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</si>
  <si>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</si>
  <si>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</si>
  <si>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</si>
  <si>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</si>
  <si>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</si>
  <si>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</si>
  <si>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</si>
  <si>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</si>
  <si>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</si>
  <si>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</si>
  <si>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</si>
  <si>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</si>
  <si>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</si>
  <si>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</si>
  <si>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</si>
  <si>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</si>
  <si>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</si>
  <si>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</si>
  <si>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</si>
  <si>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</si>
  <si>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</si>
  <si>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</si>
  <si>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</si>
  <si>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</si>
  <si>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</si>
  <si>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</si>
  <si>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</si>
  <si>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</si>
  <si>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</si>
  <si>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</si>
  <si>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</si>
  <si>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</si>
  <si>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</si>
  <si>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</si>
  <si>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</si>
  <si>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</si>
  <si>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</si>
  <si>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</si>
  <si>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</si>
  <si>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</si>
  <si>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</si>
  <si>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</si>
  <si>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</si>
  <si>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</si>
  <si>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</si>
  <si>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</si>
  <si>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</si>
  <si>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</si>
  <si>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</si>
  <si>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</si>
  <si>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</si>
  <si>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</si>
  <si>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</si>
  <si>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</si>
  <si>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</si>
  <si>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</si>
  <si>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</si>
  <si>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</si>
  <si>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</si>
  <si>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</si>
  <si>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</si>
  <si>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</si>
  <si>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</si>
  <si>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</si>
  <si>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</si>
  <si>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</si>
  <si>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</si>
  <si>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</si>
  <si>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</si>
  <si>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</si>
  <si>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</si>
  <si>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</si>
  <si>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</si>
  <si>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</si>
  <si>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</si>
  <si>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</si>
  <si>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</si>
  <si>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</si>
  <si>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</si>
  <si>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</si>
  <si>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</si>
  <si>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</si>
  <si>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</si>
  <si>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</si>
  <si>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</si>
  <si>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</si>
  <si>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</si>
  <si>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</si>
  <si>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</si>
  <si>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</si>
  <si>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</si>
  <si>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</si>
  <si>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</si>
  <si>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</si>
  <si>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</si>
  <si>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</si>
  <si>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</si>
  <si>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</si>
  <si>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</si>
  <si>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</si>
  <si>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</si>
  <si>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</si>
  <si>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</si>
  <si>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</si>
  <si>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</si>
  <si>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</si>
  <si>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</si>
  <si>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</si>
  <si>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</si>
  <si>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</si>
  <si>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</si>
  <si>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</si>
  <si>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</si>
  <si>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</si>
  <si>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</si>
  <si>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</si>
  <si>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</si>
  <si>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</si>
  <si>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</si>
  <si>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</si>
  <si>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</si>
  <si>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</si>
  <si>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</si>
  <si>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</si>
  <si>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</si>
  <si>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</si>
  <si>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</si>
  <si>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</si>
  <si>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</si>
  <si>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</si>
  <si>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</si>
  <si>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</si>
  <si>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</si>
  <si>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</si>
  <si>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</si>
  <si>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</si>
  <si>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</si>
  <si>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</si>
  <si>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</si>
  <si>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</si>
  <si>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</si>
  <si>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</si>
  <si>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</si>
  <si>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</si>
  <si>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</si>
  <si>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</si>
  <si>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</si>
  <si>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</si>
  <si>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</si>
  <si>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</si>
  <si>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</si>
  <si>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</si>
  <si>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</si>
  <si>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</si>
  <si>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</si>
  <si>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</si>
  <si>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</si>
  <si>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</si>
  <si>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</si>
  <si>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</si>
  <si>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</si>
  <si>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</si>
  <si>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</si>
  <si>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</si>
  <si>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</si>
  <si>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</si>
  <si>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</si>
  <si>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</si>
  <si>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</si>
  <si>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</si>
  <si>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</si>
  <si>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</si>
  <si>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</si>
  <si>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</si>
  <si>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</si>
  <si>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</si>
  <si>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</si>
  <si>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</si>
  <si>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</si>
  <si>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</si>
  <si>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</si>
  <si>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</si>
  <si>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</si>
  <si>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</si>
  <si>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</si>
  <si>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</si>
  <si>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</si>
  <si>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</si>
  <si>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</si>
  <si>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</si>
  <si>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</si>
  <si>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</si>
  <si>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</si>
  <si>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</si>
  <si>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</si>
  <si>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</si>
  <si>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</si>
  <si>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</si>
  <si>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</si>
  <si>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</si>
  <si>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</si>
  <si>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</si>
  <si>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</si>
  <si>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</si>
  <si>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</si>
  <si>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</si>
  <si>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</si>
  <si>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</si>
  <si>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</si>
  <si>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</si>
  <si>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</si>
  <si>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</si>
  <si>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</si>
  <si>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</si>
  <si>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</si>
  <si>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</si>
  <si>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</si>
  <si>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</si>
  <si>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</si>
  <si>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</si>
  <si>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</si>
  <si>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</si>
  <si>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</si>
  <si>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</si>
  <si>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</si>
  <si>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</si>
  <si>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</si>
  <si>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</si>
  <si>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</si>
  <si>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</si>
  <si>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</si>
  <si>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</si>
  <si>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</si>
  <si>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</si>
  <si>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</si>
  <si>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</si>
  <si>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</si>
  <si>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</si>
  <si>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</si>
  <si>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</si>
  <si>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</si>
  <si>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</si>
  <si>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</si>
  <si>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</si>
  <si>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</si>
  <si>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</si>
  <si>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</si>
  <si>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</si>
  <si>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</si>
  <si>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</si>
  <si>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</si>
  <si>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</si>
  <si>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</si>
  <si>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</si>
  <si>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</si>
  <si>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</si>
  <si>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</si>
  <si>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</si>
  <si>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</si>
  <si>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</si>
  <si>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</si>
  <si>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</si>
  <si>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</si>
  <si>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</si>
  <si>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</si>
  <si>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</si>
  <si>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</si>
  <si>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</si>
  <si>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</si>
  <si>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</si>
  <si>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</si>
  <si>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</si>
  <si>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</si>
  <si>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</si>
  <si>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</si>
  <si>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</si>
  <si>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</si>
  <si>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</si>
  <si>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</si>
  <si>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</si>
  <si>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</si>
  <si>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</si>
  <si>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</si>
  <si>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</si>
  <si>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</si>
  <si>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</si>
  <si>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</si>
  <si>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</si>
  <si>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</si>
  <si>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</si>
  <si>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</si>
  <si>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</si>
  <si>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</si>
  <si>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</si>
  <si>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</si>
  <si>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</si>
  <si>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</si>
  <si>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</si>
  <si>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</si>
  <si>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</si>
  <si>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</si>
  <si>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</si>
  <si>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</si>
  <si>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</si>
  <si>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</si>
  <si>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</si>
  <si>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</si>
  <si>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</si>
  <si>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</si>
  <si>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</si>
  <si>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</si>
  <si>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</si>
  <si>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</si>
  <si>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</si>
  <si>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</si>
  <si>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</si>
  <si>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</si>
  <si>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</si>
  <si>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</si>
  <si>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</si>
  <si>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</si>
  <si>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</si>
  <si>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</si>
  <si>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</si>
  <si>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</si>
  <si>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</si>
  <si>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</si>
  <si>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</si>
  <si>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</si>
  <si>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</si>
  <si>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</si>
  <si>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</si>
  <si>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</si>
  <si>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</si>
  <si>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</si>
  <si>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</si>
  <si>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</si>
  <si>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</si>
  <si>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</si>
  <si>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</si>
  <si>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</si>
  <si>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</si>
  <si>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</si>
  <si>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</si>
  <si>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</si>
  <si>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</si>
  <si>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</si>
  <si>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</si>
  <si>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</si>
  <si>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</si>
  <si>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</si>
  <si>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</si>
  <si>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</si>
  <si>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</si>
  <si>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</si>
  <si>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</si>
  <si>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</si>
  <si>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</si>
  <si>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</si>
  <si>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</si>
  <si>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</si>
  <si>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</si>
  <si>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</si>
  <si>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</si>
  <si>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</si>
  <si>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</si>
  <si>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</si>
  <si>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</si>
  <si>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</si>
  <si>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</si>
  <si>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</si>
  <si>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</si>
  <si>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</si>
  <si>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</si>
  <si>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</si>
  <si>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</si>
  <si>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</si>
  <si>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</si>
  <si>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</si>
  <si>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</si>
  <si>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</si>
  <si>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</si>
  <si>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</si>
  <si>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</si>
  <si>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</si>
  <si>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</si>
  <si>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</si>
  <si>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</si>
  <si>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</si>
  <si>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</si>
  <si>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</si>
  <si>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</si>
  <si>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</si>
  <si>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</si>
  <si>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</si>
  <si>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</si>
  <si>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</si>
  <si>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</si>
  <si>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</si>
  <si>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</si>
  <si>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</si>
  <si>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</si>
  <si>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</si>
  <si>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</si>
  <si>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</si>
  <si>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</si>
  <si>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</si>
  <si>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</si>
  <si>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</si>
  <si>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</si>
  <si>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</si>
  <si>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</si>
  <si>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</si>
  <si>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</si>
  <si>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</si>
  <si>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</si>
  <si>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</si>
  <si>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</si>
  <si>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</si>
  <si>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</si>
  <si>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</si>
  <si>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</si>
  <si>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</si>
  <si>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</si>
  <si>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</si>
  <si>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</si>
  <si>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</si>
  <si>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</si>
  <si>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</si>
  <si>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</si>
  <si>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</si>
  <si>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</si>
  <si>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</si>
  <si>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</si>
  <si>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</si>
  <si>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</si>
  <si>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</si>
  <si>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</si>
  <si>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</si>
  <si>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</si>
  <si>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</si>
  <si>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</si>
  <si>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</si>
  <si>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</si>
  <si>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</si>
  <si>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</si>
  <si>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</si>
  <si>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</si>
  <si>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</si>
  <si>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</si>
  <si>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</si>
  <si>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</si>
  <si>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</si>
  <si>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</si>
  <si>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</si>
  <si>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</si>
  <si>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</si>
  <si>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</si>
  <si>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</si>
  <si>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</si>
  <si>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</si>
  <si>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</si>
  <si>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</si>
  <si>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</si>
  <si>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</si>
  <si>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</si>
  <si>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</si>
  <si>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</si>
  <si>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</si>
  <si>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</si>
  <si>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</si>
  <si>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</si>
  <si>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</si>
  <si>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</si>
  <si>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</si>
  <si>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</si>
  <si>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</si>
  <si>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</si>
  <si>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</si>
  <si>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</si>
  <si>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</si>
  <si>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</si>
  <si>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</si>
  <si>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</si>
  <si>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</si>
  <si>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</si>
  <si>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</si>
  <si>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</si>
  <si>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</si>
  <si>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</si>
  <si>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</si>
  <si>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</si>
  <si>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</si>
  <si>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</si>
  <si>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</si>
  <si>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</si>
  <si>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</si>
  <si>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</si>
  <si>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</si>
  <si>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</si>
  <si>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</si>
  <si>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</si>
  <si>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</si>
  <si>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</si>
  <si>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</si>
  <si>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</si>
  <si>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</si>
  <si>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</si>
  <si>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</si>
  <si>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</si>
  <si>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</si>
  <si>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</si>
  <si>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</si>
  <si>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</si>
  <si>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</si>
  <si>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</si>
  <si>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</si>
  <si>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</si>
  <si>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</si>
  <si>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</si>
  <si>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</si>
  <si>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</si>
  <si>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</si>
  <si>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</si>
  <si>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</si>
  <si>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</si>
  <si>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</si>
  <si>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</si>
  <si>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</si>
  <si>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</si>
  <si>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</si>
  <si>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</si>
  <si>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</si>
  <si>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</si>
  <si>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</si>
  <si>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</si>
  <si>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</si>
  <si>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</si>
  <si>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</si>
  <si>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</si>
  <si>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</si>
  <si>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</si>
  <si>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</si>
  <si>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</si>
  <si>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</si>
  <si>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</si>
  <si>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</si>
  <si>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</si>
  <si>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</si>
  <si>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</si>
  <si>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</si>
  <si>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</si>
  <si>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</si>
  <si>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</si>
  <si>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</si>
  <si>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</si>
  <si>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</si>
  <si>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</si>
  <si>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</si>
  <si>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</si>
  <si>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</si>
  <si>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</si>
  <si>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</si>
  <si>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</si>
  <si>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</si>
  <si>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</si>
  <si>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</si>
  <si>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</si>
  <si>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</si>
  <si>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</si>
  <si>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</si>
  <si>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</si>
  <si>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</si>
  <si>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</si>
  <si>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</si>
  <si>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</si>
  <si>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</si>
  <si>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</si>
  <si>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</si>
  <si>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</si>
  <si>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</si>
  <si>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</si>
  <si>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</si>
  <si>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</si>
  <si>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</si>
  <si>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</si>
  <si>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</si>
  <si>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</si>
  <si>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</si>
  <si>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</si>
  <si>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</si>
  <si>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</si>
  <si>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</si>
  <si>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</si>
  <si>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</si>
  <si>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</si>
  <si>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</si>
  <si>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</si>
  <si>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</si>
  <si>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</si>
  <si>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</si>
  <si>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</si>
  <si>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</si>
  <si>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</si>
  <si>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</si>
  <si>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</si>
  <si>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</si>
  <si>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</si>
  <si>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</si>
  <si>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</si>
  <si>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</si>
  <si>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</si>
  <si>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</si>
  <si>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</si>
  <si>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</si>
  <si>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</si>
  <si>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</si>
  <si>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</si>
  <si>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</si>
  <si>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</si>
  <si>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</si>
  <si>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</si>
  <si>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</si>
  <si>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</si>
  <si>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</si>
  <si>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</si>
  <si>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</si>
  <si>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</si>
  <si>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</si>
  <si>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</si>
  <si>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</si>
  <si>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</si>
  <si>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</si>
  <si>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</si>
  <si>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</si>
  <si>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</si>
  <si>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</si>
  <si>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</si>
  <si>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</si>
  <si>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</si>
  <si>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</si>
  <si>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</si>
  <si>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</si>
  <si>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</si>
  <si>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</si>
  <si>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</si>
  <si>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</si>
  <si>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</si>
  <si>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</si>
  <si>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</si>
  <si>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</si>
  <si>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</si>
  <si>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</si>
  <si>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</si>
  <si>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</si>
  <si>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</si>
  <si>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</si>
  <si>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</si>
  <si>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</si>
  <si>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</si>
  <si>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</si>
  <si>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</si>
  <si>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</si>
  <si>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</si>
  <si>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</si>
  <si>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</si>
  <si>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</si>
  <si>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</si>
  <si>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</si>
  <si>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</si>
  <si>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</si>
  <si>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</si>
  <si>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</si>
  <si>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</si>
  <si>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</si>
  <si>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</si>
  <si>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</si>
  <si>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</si>
  <si>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</si>
  <si>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</si>
  <si>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</si>
  <si>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</si>
  <si>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</si>
  <si>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</si>
  <si>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</si>
  <si>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</si>
  <si>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</si>
  <si>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</si>
  <si>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</si>
  <si>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</si>
  <si>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</si>
  <si>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</si>
  <si>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</si>
  <si>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</si>
  <si>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</si>
  <si>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</si>
  <si>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</si>
  <si>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</si>
  <si>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</si>
  <si>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</si>
  <si>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</si>
  <si>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</si>
  <si>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</si>
  <si>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</si>
  <si>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</si>
  <si>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</si>
  <si>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</si>
  <si>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</si>
  <si>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</si>
  <si>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</si>
  <si>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</si>
  <si>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</si>
  <si>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</si>
  <si>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</si>
  <si>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</si>
  <si>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</si>
  <si>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</si>
  <si>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</si>
  <si>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</si>
  <si>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</si>
  <si>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</si>
  <si>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</si>
  <si>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</si>
  <si>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</si>
  <si>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</si>
  <si>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</si>
  <si>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</si>
  <si>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</si>
  <si>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</si>
  <si>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</si>
  <si>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</si>
  <si>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</si>
  <si>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</si>
  <si>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</si>
  <si>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</si>
  <si>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</si>
  <si>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</si>
  <si>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</si>
  <si>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</si>
  <si>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</si>
  <si>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</si>
  <si>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</si>
  <si>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</si>
  <si>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</si>
  <si>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</si>
  <si>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</si>
  <si>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</si>
  <si>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</si>
  <si>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</si>
  <si>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</si>
  <si>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</si>
  <si>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</si>
  <si>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</si>
  <si>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</si>
  <si>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</si>
  <si>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</si>
  <si>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</si>
  <si>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</si>
  <si>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</si>
  <si>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</si>
  <si>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</si>
  <si>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</si>
  <si>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</si>
  <si>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</si>
  <si>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</si>
  <si>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</si>
  <si>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</si>
  <si>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</si>
  <si>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</si>
  <si>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</si>
  <si>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</si>
  <si>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</si>
  <si>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</si>
  <si>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</si>
  <si>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</si>
  <si>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</si>
  <si>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</si>
  <si>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</si>
  <si>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</si>
  <si>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</si>
  <si>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</si>
  <si>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</si>
  <si>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</si>
  <si>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</si>
  <si>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</si>
  <si>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</si>
  <si>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</si>
  <si>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</si>
  <si>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</si>
  <si>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</si>
  <si>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</si>
  <si>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</si>
  <si>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</si>
  <si>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</si>
  <si>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</si>
  <si>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</si>
  <si>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</si>
  <si>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</si>
  <si>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</si>
  <si>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</si>
  <si>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</si>
  <si>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</si>
  <si>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</si>
  <si>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</si>
  <si>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</si>
  <si>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</si>
  <si>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</si>
  <si>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</si>
  <si>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</si>
  <si>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</si>
  <si>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</si>
  <si>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</si>
  <si>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</si>
  <si>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</si>
  <si>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</si>
  <si>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</si>
  <si>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</si>
  <si>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</si>
  <si>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</si>
  <si>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</si>
  <si>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</si>
  <si>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</si>
  <si>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</si>
  <si>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</si>
  <si>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</si>
  <si>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</si>
  <si>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</si>
  <si>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</si>
  <si>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</si>
  <si>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</si>
  <si>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</si>
  <si>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</si>
  <si>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</si>
  <si>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</si>
  <si>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</si>
  <si>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</si>
  <si>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</si>
  <si>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</si>
  <si>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</si>
  <si>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</si>
  <si>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</si>
  <si>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</si>
  <si>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</si>
  <si>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</si>
  <si>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</si>
  <si>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</si>
  <si>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</si>
  <si>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</si>
  <si>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</si>
  <si>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</si>
  <si>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</si>
  <si>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</si>
  <si>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</si>
  <si>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</si>
  <si>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</si>
  <si>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</si>
  <si>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</si>
  <si>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</si>
  <si>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</si>
  <si>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</si>
  <si>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</si>
  <si>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</si>
  <si>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</si>
  <si>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</si>
  <si>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</si>
  <si>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</si>
  <si>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</si>
  <si>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</si>
  <si>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</si>
  <si>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</si>
  <si>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</si>
  <si>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</si>
  <si>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</si>
  <si>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</si>
  <si>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</si>
  <si>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</si>
  <si>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</si>
  <si>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</si>
  <si>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</si>
  <si>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</si>
  <si>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</si>
  <si>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</si>
  <si>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</si>
  <si>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</si>
  <si>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</si>
  <si>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</si>
  <si>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</si>
  <si>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</si>
  <si>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</si>
  <si>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</si>
  <si>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</si>
  <si>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</si>
  <si>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</si>
  <si>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</si>
  <si>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</si>
  <si>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</si>
  <si>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</si>
  <si>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</si>
  <si>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</si>
  <si>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</si>
  <si>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</si>
  <si>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</si>
  <si>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</si>
  <si>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</si>
  <si>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</si>
  <si>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</si>
  <si>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</si>
  <si>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</si>
  <si>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</si>
  <si>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</si>
  <si>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</si>
  <si>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</si>
  <si>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</si>
  <si>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</si>
  <si>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</si>
  <si>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</si>
  <si>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</si>
  <si>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</si>
  <si>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</si>
  <si>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</si>
  <si>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</si>
  <si>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</si>
  <si>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</si>
  <si>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</si>
  <si>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</si>
  <si>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</si>
  <si>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</si>
  <si>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</si>
  <si>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</si>
  <si>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</si>
  <si>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</si>
  <si>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</si>
  <si>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</si>
  <si>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</si>
  <si>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</si>
  <si>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</si>
  <si>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</si>
  <si>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</si>
  <si>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</si>
  <si>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</si>
  <si>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</si>
  <si>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</si>
  <si>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</si>
  <si>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</si>
  <si>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</si>
  <si>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</si>
  <si>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</si>
  <si>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</si>
  <si>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</si>
  <si>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</si>
  <si>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</si>
  <si>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</si>
  <si>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</si>
  <si>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</si>
  <si>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</si>
  <si>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</si>
  <si>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</si>
  <si>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</si>
  <si>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</si>
  <si>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</si>
  <si>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</si>
  <si>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</si>
  <si>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</si>
  <si>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</si>
  <si>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</si>
  <si>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</si>
  <si>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</si>
  <si>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</si>
  <si>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</si>
  <si>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</si>
  <si>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</si>
  <si>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</si>
  <si>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</si>
  <si>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</si>
  <si>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</si>
  <si>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</si>
  <si>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</si>
  <si>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</si>
  <si>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</si>
  <si>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</si>
  <si>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</si>
  <si>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</si>
  <si>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</si>
  <si>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</si>
  <si>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</si>
  <si>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</si>
  <si>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</si>
  <si>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</si>
  <si>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</si>
  <si>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</si>
  <si>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</si>
  <si>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</si>
  <si>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</si>
  <si>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</si>
  <si>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</si>
  <si>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</si>
  <si>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</si>
  <si>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</si>
  <si>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</si>
  <si>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</si>
  <si>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</si>
  <si>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</si>
  <si>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</si>
  <si>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</si>
  <si>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</si>
  <si>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</si>
  <si>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</si>
  <si>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</si>
  <si>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</si>
  <si>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</si>
  <si>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</si>
  <si>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</si>
  <si>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</si>
  <si>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</si>
  <si>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</si>
  <si>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</si>
  <si>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</si>
  <si>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</si>
  <si>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</si>
  <si>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</si>
  <si>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</si>
  <si>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</si>
  <si>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</si>
  <si>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</si>
  <si>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</si>
  <si>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</si>
  <si>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</si>
  <si>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</si>
  <si>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</si>
  <si>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</si>
  <si>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</si>
  <si>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</si>
  <si>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</si>
  <si>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</si>
  <si>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</si>
  <si>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</si>
  <si>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</si>
  <si>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</si>
  <si>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</si>
  <si>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</si>
  <si>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</si>
  <si>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</si>
  <si>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</si>
  <si>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</si>
  <si>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</si>
  <si>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</si>
  <si>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</si>
  <si>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</si>
  <si>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</si>
  <si>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</si>
  <si>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</si>
  <si>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</si>
  <si>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</si>
  <si>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</si>
  <si>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</si>
  <si>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</si>
  <si>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</si>
  <si>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</si>
  <si>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</si>
  <si>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</si>
  <si>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</si>
  <si>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</si>
  <si>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</si>
  <si>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</si>
  <si>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</si>
  <si>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</si>
  <si>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</si>
  <si>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</si>
  <si>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</si>
  <si>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</si>
  <si>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</si>
  <si>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</si>
  <si>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</si>
  <si>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</si>
  <si>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</si>
  <si>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</si>
  <si>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</si>
  <si>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</si>
  <si>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</si>
  <si>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</si>
  <si>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</si>
  <si>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</si>
  <si>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</si>
  <si>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</si>
  <si>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</si>
  <si>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</si>
  <si>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</si>
  <si>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</si>
  <si>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</si>
  <si>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</si>
  <si>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</si>
  <si>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</si>
  <si>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</si>
  <si>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</si>
  <si>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</si>
  <si>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</si>
  <si>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</si>
  <si>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</si>
  <si>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</si>
  <si>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</si>
  <si>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</si>
  <si>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</si>
  <si>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</si>
  <si>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</si>
  <si>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</si>
  <si>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</si>
  <si>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</si>
  <si>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</si>
  <si>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</si>
  <si>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</si>
  <si>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</si>
  <si>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</si>
  <si>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</si>
  <si>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</si>
  <si>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</si>
  <si>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</si>
  <si>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</si>
  <si>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</si>
  <si>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</si>
  <si>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</si>
  <si>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</si>
  <si>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</si>
  <si>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</si>
  <si>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</si>
  <si>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</si>
  <si>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</si>
  <si>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</si>
  <si>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</si>
  <si>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</si>
  <si>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</si>
  <si>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</si>
  <si>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</si>
  <si>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</si>
  <si>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</si>
  <si>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</si>
  <si>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</si>
  <si>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</si>
  <si>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</si>
  <si>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</si>
  <si>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</si>
  <si>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</si>
  <si>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</si>
  <si>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</si>
  <si>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</si>
  <si>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</si>
  <si>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</si>
  <si>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</si>
  <si>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</si>
  <si>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</si>
  <si>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</si>
  <si>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</si>
  <si>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</si>
  <si>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</si>
  <si>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</si>
  <si>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</si>
  <si>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</si>
  <si>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</si>
  <si>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</si>
  <si>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</si>
  <si>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</si>
  <si>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</si>
  <si>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</si>
  <si>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</si>
  <si>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</si>
  <si>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</si>
  <si>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</si>
  <si>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</si>
  <si>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</si>
  <si>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</si>
  <si>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</si>
  <si>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</si>
  <si>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</si>
  <si>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</si>
  <si>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</si>
  <si>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</si>
  <si>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</si>
  <si>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</si>
  <si>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</si>
  <si>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</si>
  <si>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</si>
  <si>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</si>
  <si>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</si>
  <si>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</si>
  <si>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</si>
  <si>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</si>
  <si>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</si>
  <si>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</si>
  <si>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</si>
  <si>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</si>
  <si>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</si>
  <si>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</si>
  <si>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</si>
  <si>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</si>
  <si>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</si>
  <si>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</si>
  <si>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</si>
  <si>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</si>
  <si>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</si>
  <si>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</si>
  <si>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</si>
  <si>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</si>
  <si>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</si>
  <si>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</si>
  <si>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</si>
  <si>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</si>
  <si>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</si>
  <si>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</si>
  <si>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</si>
  <si>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</si>
  <si>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</si>
  <si>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</si>
  <si>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</si>
  <si>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</si>
  <si>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</si>
  <si>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</si>
  <si>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</si>
  <si>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</si>
  <si>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</si>
  <si>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</si>
  <si>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</si>
  <si>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</si>
  <si>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</si>
  <si>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</si>
  <si>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</si>
  <si>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</si>
  <si>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</si>
  <si>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</si>
  <si>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</si>
  <si>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</si>
  <si>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</si>
  <si>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</si>
  <si>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</si>
  <si>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</si>
  <si>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</si>
  <si>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</si>
  <si>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</si>
  <si>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</si>
  <si>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</si>
  <si>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</si>
  <si>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</si>
  <si>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</si>
  <si>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</si>
  <si>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</si>
  <si>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</si>
  <si>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</si>
  <si>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</si>
  <si>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</si>
  <si>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</si>
  <si>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</si>
  <si>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</si>
  <si>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</si>
  <si>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</si>
  <si>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</si>
  <si>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</si>
  <si>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</si>
  <si>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</si>
  <si>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</si>
  <si>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</si>
  <si>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</si>
  <si>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</si>
  <si>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</si>
  <si>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</si>
  <si>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</si>
  <si>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</si>
  <si>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</si>
  <si>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</si>
  <si>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</si>
  <si>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</si>
  <si>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</si>
  <si>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</si>
  <si>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</si>
  <si>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</si>
  <si>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</si>
  <si>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</si>
  <si>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</si>
  <si>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</si>
  <si>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</si>
  <si>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</si>
  <si>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</si>
  <si>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</si>
  <si>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</si>
  <si>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</si>
  <si>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</si>
  <si>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</si>
  <si>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</si>
  <si>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</si>
  <si>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</si>
  <si>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</si>
  <si>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</si>
  <si>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</si>
  <si>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</si>
  <si>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</si>
  <si>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</si>
  <si>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</si>
  <si>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</si>
  <si>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</si>
  <si>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</si>
  <si>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</si>
  <si>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</si>
  <si>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</si>
  <si>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</si>
  <si>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</si>
  <si>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</si>
  <si>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</si>
  <si>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</si>
  <si>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</si>
  <si>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</si>
  <si>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</si>
  <si>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</si>
  <si>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</si>
  <si>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</si>
  <si>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</si>
  <si>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</si>
  <si>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</si>
  <si>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</si>
  <si>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</si>
  <si>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</si>
  <si>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</si>
  <si>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</si>
  <si>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</si>
  <si>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</si>
  <si>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</si>
  <si>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</si>
  <si>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</si>
  <si>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</si>
  <si>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</si>
  <si>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</si>
  <si>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</si>
  <si>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</si>
  <si>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</si>
  <si>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</si>
  <si>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</si>
  <si>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</si>
  <si>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</si>
  <si>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</si>
  <si>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</si>
  <si>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</si>
  <si>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</si>
  <si>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</si>
  <si>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</si>
  <si>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</si>
  <si>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</si>
  <si>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</si>
  <si>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</si>
  <si>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</si>
  <si>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</si>
  <si>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</si>
  <si>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</si>
  <si>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</si>
  <si>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</si>
  <si>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</si>
  <si>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</si>
  <si>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</si>
  <si>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</si>
  <si>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</si>
  <si>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</si>
  <si>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</si>
  <si>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</si>
  <si>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</si>
  <si>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</si>
  <si>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</si>
  <si>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</si>
  <si>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</si>
  <si>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</si>
  <si>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</si>
  <si>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</si>
  <si>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</si>
  <si>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</si>
  <si>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</si>
  <si>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</si>
  <si>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</si>
  <si>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</si>
  <si>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</si>
  <si>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</si>
  <si>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</si>
  <si>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</si>
  <si>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</si>
  <si>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</si>
  <si>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</si>
  <si>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</si>
  <si>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</si>
  <si>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</si>
  <si>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</si>
  <si>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</si>
  <si>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</si>
  <si>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</si>
  <si>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</si>
  <si>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</si>
  <si>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</si>
  <si>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</si>
  <si>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</si>
  <si>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</si>
  <si>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</si>
  <si>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</si>
  <si>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</si>
  <si>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</si>
  <si>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</si>
  <si>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</si>
  <si>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</si>
  <si>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</si>
  <si>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</si>
  <si>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</si>
  <si>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</si>
  <si>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</si>
  <si>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</si>
  <si>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</si>
  <si>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</si>
  <si>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</si>
  <si>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</si>
  <si>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</si>
  <si>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</si>
  <si>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</si>
  <si>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</si>
  <si>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</si>
  <si>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</si>
  <si>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</si>
  <si>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</si>
  <si>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</si>
  <si>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</si>
  <si>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</si>
  <si>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</si>
  <si>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</si>
  <si>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</si>
  <si>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</si>
  <si>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</si>
  <si>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</si>
  <si>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</si>
  <si>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</si>
  <si>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</si>
  <si>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</si>
  <si>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</si>
  <si>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</si>
  <si>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</si>
  <si>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</si>
  <si>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</si>
  <si>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</si>
  <si>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</si>
  <si>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</si>
  <si>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</si>
  <si>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</si>
  <si>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</si>
  <si>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</si>
  <si>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</si>
  <si>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</si>
  <si>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</si>
  <si>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</si>
  <si>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</si>
  <si>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</si>
  <si>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</si>
  <si>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</si>
  <si>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</si>
  <si>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</si>
  <si>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</si>
  <si>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</si>
  <si>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</si>
  <si>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</si>
  <si>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</si>
  <si>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</si>
  <si>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</si>
  <si>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</si>
  <si>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</si>
  <si>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</si>
  <si>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</si>
  <si>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</si>
  <si>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</si>
  <si>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</si>
  <si>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</si>
  <si>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</si>
  <si>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</si>
  <si>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</si>
  <si>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</si>
  <si>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</si>
  <si>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</si>
  <si>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</si>
  <si>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</si>
  <si>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</si>
  <si>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</si>
  <si>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</si>
  <si>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</si>
  <si>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</si>
  <si>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</si>
  <si>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</si>
  <si>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</si>
  <si>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</si>
  <si>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</si>
  <si>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</si>
  <si>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</si>
  <si>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</si>
  <si>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</si>
  <si>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</si>
  <si>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</si>
  <si>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</si>
  <si>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</si>
  <si>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</si>
  <si>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</si>
  <si>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</si>
  <si>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</si>
  <si>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</si>
  <si>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</si>
  <si>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</si>
  <si>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</si>
  <si>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</si>
  <si>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</si>
  <si>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</si>
  <si>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</si>
  <si>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</si>
  <si>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</si>
  <si>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</si>
  <si>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</si>
  <si>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</si>
  <si>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</si>
  <si>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</si>
  <si>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</si>
  <si>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</si>
  <si>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</si>
  <si>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</si>
  <si>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</si>
  <si>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</si>
  <si>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</si>
  <si>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</si>
  <si>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</si>
  <si>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</si>
  <si>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</si>
  <si>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</si>
  <si>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</si>
  <si>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</si>
  <si>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</si>
  <si>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</si>
  <si>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</si>
  <si>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</si>
  <si>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</si>
  <si>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</si>
  <si>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</si>
  <si>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</si>
  <si>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</si>
  <si>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</si>
  <si>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</si>
  <si>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</si>
  <si>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</si>
  <si>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</si>
  <si>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</si>
  <si>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</si>
  <si>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</si>
  <si>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</si>
  <si>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</si>
  <si>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</si>
  <si>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</si>
  <si>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</si>
  <si>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</si>
  <si>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</si>
  <si>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</si>
  <si>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</si>
  <si>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</si>
  <si>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</si>
  <si>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</si>
  <si>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</si>
  <si>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</si>
  <si>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</si>
  <si>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</si>
  <si>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</si>
  <si>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</si>
  <si>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</si>
  <si>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</si>
  <si>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</si>
  <si>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</si>
  <si>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</si>
  <si>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</si>
  <si>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</si>
  <si>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</si>
  <si>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</si>
  <si>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</si>
  <si>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</si>
  <si>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</si>
  <si>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</si>
  <si>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</si>
  <si>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</si>
  <si>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</si>
  <si>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</si>
  <si>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</si>
  <si>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</si>
  <si>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</si>
  <si>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</si>
  <si>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</si>
  <si>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</si>
  <si>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</si>
  <si>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</si>
  <si>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</si>
  <si>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</si>
  <si>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</si>
  <si>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</si>
  <si>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</si>
  <si>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</si>
  <si>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</si>
  <si>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</si>
  <si>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</si>
  <si>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</si>
  <si>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</si>
  <si>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</si>
  <si>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</si>
  <si>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</si>
  <si>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</si>
  <si>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</si>
  <si>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</si>
  <si>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</si>
  <si>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</si>
  <si>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</si>
  <si>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</si>
  <si>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</si>
  <si>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</si>
  <si>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</si>
  <si>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</si>
  <si>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</si>
  <si>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</si>
  <si>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</si>
  <si>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</si>
  <si>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</si>
  <si>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</si>
  <si>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</si>
  <si>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</si>
  <si>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</si>
  <si>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</si>
  <si>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</si>
  <si>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</si>
  <si>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</si>
  <si>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</si>
  <si>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</si>
  <si>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</si>
  <si>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</si>
  <si>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</si>
  <si>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</si>
  <si>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</si>
  <si>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</si>
  <si>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</si>
  <si>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</si>
  <si>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</si>
  <si>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</si>
  <si>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</si>
  <si>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</si>
  <si>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</si>
  <si>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</si>
  <si>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</si>
  <si>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</si>
  <si>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</si>
  <si>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</si>
  <si>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</si>
  <si>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</si>
  <si>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</si>
  <si>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</si>
  <si>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</si>
  <si>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</si>
  <si>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</si>
  <si>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</si>
  <si>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</si>
  <si>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</si>
  <si>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</si>
  <si>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</si>
  <si>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</si>
  <si>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</si>
  <si>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</si>
  <si>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</si>
  <si>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</si>
  <si>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</si>
  <si>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</si>
  <si>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</si>
  <si>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</si>
  <si>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</si>
  <si>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</si>
  <si>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</si>
  <si>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</si>
  <si>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</si>
  <si>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</si>
  <si>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</si>
  <si>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</si>
  <si>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</si>
  <si>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</si>
  <si>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</si>
  <si>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</si>
  <si>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</si>
  <si>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</si>
  <si>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</si>
  <si>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</si>
  <si>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</si>
  <si>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</si>
  <si>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</si>
  <si>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</si>
  <si>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</si>
  <si>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</si>
  <si>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</si>
  <si>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</si>
  <si>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</si>
  <si>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</si>
  <si>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</si>
  <si>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</si>
  <si>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</si>
  <si>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</si>
  <si>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</si>
  <si>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</si>
  <si>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</si>
  <si>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</si>
  <si>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</si>
  <si>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</si>
  <si>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</si>
  <si>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</si>
  <si>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</si>
  <si>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</si>
  <si>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</si>
  <si>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</si>
  <si>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</si>
  <si>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</si>
  <si>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</si>
  <si>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</si>
  <si>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</si>
  <si>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</si>
  <si>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</si>
  <si>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</si>
  <si>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</si>
  <si>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</si>
  <si>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</si>
  <si>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</si>
  <si>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</si>
  <si>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</si>
  <si>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</si>
  <si>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</si>
  <si>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</si>
  <si>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</si>
  <si>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</si>
  <si>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</si>
  <si>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</si>
  <si>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</si>
  <si>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</si>
  <si>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</si>
  <si>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</si>
  <si>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</si>
  <si>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</si>
  <si>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</si>
  <si>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</si>
  <si>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</si>
  <si>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</si>
  <si>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</si>
  <si>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</si>
  <si>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</si>
  <si>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</si>
  <si>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</si>
  <si>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</si>
  <si>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</si>
  <si>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</si>
  <si>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</si>
  <si>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</si>
  <si>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</si>
  <si>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</si>
  <si>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</si>
  <si>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</si>
  <si>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</si>
  <si>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</si>
  <si>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</si>
  <si>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</si>
  <si>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</si>
  <si>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</si>
  <si>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</si>
  <si>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</si>
  <si>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</si>
  <si>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</si>
  <si>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</si>
  <si>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</si>
  <si>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</si>
  <si>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</si>
  <si>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</si>
  <si>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</si>
  <si>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</si>
  <si>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</si>
  <si>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</si>
  <si>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</si>
  <si>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</si>
  <si>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</si>
  <si>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</si>
  <si>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</si>
  <si>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</si>
  <si>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</si>
  <si>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</si>
  <si>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</si>
  <si>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</si>
  <si>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</si>
  <si>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</si>
  <si>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</si>
  <si>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</si>
  <si>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</si>
  <si>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</si>
  <si>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</si>
  <si>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</si>
  <si>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</si>
  <si>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</si>
  <si>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</si>
  <si>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</si>
  <si>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</si>
  <si>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</si>
  <si>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</si>
  <si>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</si>
  <si>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</si>
  <si>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</si>
  <si>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</si>
  <si>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</si>
  <si>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</si>
  <si>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</si>
  <si>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</si>
  <si>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</si>
  <si>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</si>
  <si>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</si>
  <si>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</si>
  <si>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</si>
  <si>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</si>
  <si>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</si>
  <si>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</si>
  <si>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</si>
  <si>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</si>
  <si>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</si>
  <si>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</si>
  <si>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</si>
  <si>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</si>
  <si>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</si>
  <si>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</si>
  <si>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</si>
  <si>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</si>
  <si>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</si>
  <si>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</si>
  <si>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</si>
  <si>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</si>
  <si>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</si>
  <si>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</si>
  <si>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</si>
  <si>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</si>
  <si>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</si>
  <si>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</si>
  <si>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</si>
  <si>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</si>
  <si>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</si>
  <si>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</si>
  <si>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</si>
  <si>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</si>
  <si>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</si>
  <si>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</si>
  <si>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</si>
  <si>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</si>
  <si>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</si>
  <si>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</si>
  <si>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</si>
  <si>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</si>
  <si>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</si>
  <si>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</si>
  <si>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</si>
  <si>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</si>
  <si>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</si>
  <si>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</si>
  <si>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</si>
  <si>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</si>
  <si>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</si>
  <si>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</si>
  <si>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</si>
  <si>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</si>
  <si>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</si>
  <si>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</si>
  <si>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</si>
  <si>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</si>
  <si>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</si>
  <si>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</si>
  <si>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</si>
  <si>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</si>
  <si>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</si>
  <si>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</si>
  <si>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</si>
  <si>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</si>
  <si>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</si>
  <si>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</si>
  <si>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</si>
  <si>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</si>
  <si>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</si>
  <si>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</si>
  <si>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</si>
  <si>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</si>
  <si>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</si>
  <si>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</si>
  <si>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</si>
  <si>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</si>
  <si>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</si>
  <si>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</si>
  <si>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</si>
  <si>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</si>
  <si>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</si>
  <si>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</si>
  <si>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</si>
  <si>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</si>
  <si>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</si>
  <si>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</si>
  <si>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</si>
  <si>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</si>
  <si>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</si>
  <si>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</si>
  <si>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</si>
  <si>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</si>
  <si>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</si>
  <si>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</si>
  <si>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</si>
  <si>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</si>
  <si>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</si>
  <si>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</si>
  <si>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</si>
  <si>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</si>
  <si>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</si>
  <si>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</si>
  <si>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</si>
  <si>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</si>
  <si>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</si>
  <si>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</si>
  <si>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</si>
  <si>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</si>
  <si>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</si>
  <si>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</si>
  <si>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</si>
  <si>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</si>
  <si>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</si>
  <si>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</si>
  <si>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</si>
  <si>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</si>
  <si>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</si>
  <si>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</si>
  <si>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</si>
  <si>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</si>
  <si>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</si>
  <si>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</si>
  <si>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</si>
  <si>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</si>
  <si>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</si>
  <si>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</si>
  <si>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</si>
  <si>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</si>
  <si>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</si>
  <si>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</si>
  <si>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</si>
  <si>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</si>
  <si>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</si>
  <si>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</si>
  <si>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</si>
  <si>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</si>
  <si>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</si>
  <si>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</si>
  <si>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</si>
  <si>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</si>
  <si>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</si>
  <si>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</si>
  <si>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</si>
  <si>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</si>
  <si>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</si>
  <si>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</si>
  <si>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</si>
  <si>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</si>
  <si>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</si>
  <si>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</si>
  <si>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</si>
  <si>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</si>
  <si>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</si>
  <si>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</si>
  <si>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</si>
  <si>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</si>
  <si>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</si>
  <si>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</si>
  <si>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</si>
  <si>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</si>
  <si>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</si>
  <si>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</si>
  <si>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</si>
  <si>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</si>
  <si>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</si>
  <si>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</si>
  <si>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</si>
  <si>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</si>
  <si>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</si>
  <si>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</si>
  <si>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</si>
  <si>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</si>
  <si>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</si>
  <si>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</si>
  <si>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</si>
  <si>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</si>
  <si>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</si>
  <si>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</si>
  <si>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</si>
  <si>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</si>
  <si>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</si>
  <si>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</si>
  <si>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</si>
  <si>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</si>
  <si>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</si>
  <si>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</si>
  <si>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</si>
  <si>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</si>
  <si>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</si>
  <si>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</si>
  <si>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</si>
  <si>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</si>
  <si>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</si>
  <si>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</si>
  <si>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</si>
  <si>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</si>
  <si>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</si>
  <si>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</si>
  <si>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</si>
  <si>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</si>
  <si>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</si>
  <si>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</si>
  <si>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</si>
  <si>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</si>
  <si>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</si>
  <si>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</si>
  <si>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</si>
  <si>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</si>
  <si>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</si>
  <si>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</si>
  <si>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</si>
  <si>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</si>
  <si>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</si>
  <si>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</si>
  <si>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</si>
  <si>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</si>
  <si>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</si>
  <si>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</si>
  <si>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</si>
  <si>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</si>
  <si>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</si>
  <si>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</si>
  <si>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</si>
  <si>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</si>
  <si>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</si>
  <si>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</si>
  <si>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</si>
  <si>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</si>
  <si>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</si>
  <si>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</si>
  <si>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</si>
  <si>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</si>
  <si>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</si>
  <si>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</si>
  <si>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</si>
  <si>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</si>
  <si>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</si>
  <si>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</si>
  <si>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</si>
  <si>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</si>
  <si>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</si>
  <si>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</si>
  <si>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</si>
  <si>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</si>
  <si>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</si>
  <si>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</si>
  <si>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</si>
  <si>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</si>
  <si>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</si>
  <si>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</si>
  <si>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</si>
  <si>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</si>
  <si>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</si>
  <si>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</si>
  <si>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</si>
  <si>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</si>
  <si>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</si>
  <si>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</si>
  <si>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</si>
  <si>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</si>
  <si>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</si>
  <si>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</si>
  <si>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</si>
  <si>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</si>
  <si>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</si>
  <si>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</si>
  <si>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</si>
  <si>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</si>
  <si>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</si>
  <si>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</si>
  <si>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</si>
  <si>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</si>
  <si>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</si>
  <si>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</si>
  <si>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</si>
  <si>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</si>
  <si>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</si>
  <si>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</si>
  <si>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</si>
  <si>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</si>
  <si>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</si>
  <si>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</si>
  <si>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</si>
  <si>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</si>
  <si>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</si>
  <si>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</si>
  <si>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</si>
  <si>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</si>
  <si>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</si>
  <si>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</si>
  <si>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</si>
  <si>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</si>
  <si>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</si>
  <si>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</si>
  <si>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</si>
  <si>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</si>
  <si>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</si>
  <si>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</si>
  <si>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</si>
  <si>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</si>
  <si>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</si>
  <si>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</si>
  <si>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</si>
  <si>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</si>
  <si>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</si>
  <si>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</si>
  <si>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</si>
  <si>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</si>
  <si>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</si>
  <si>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</si>
  <si>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</si>
  <si>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</si>
  <si>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</si>
  <si>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</si>
  <si>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</si>
  <si>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</si>
  <si>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</si>
  <si>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</si>
  <si>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</si>
  <si>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</si>
  <si>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</si>
  <si>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</si>
  <si>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</si>
  <si>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</si>
  <si>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</si>
  <si>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</si>
  <si>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</si>
  <si>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</si>
  <si>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</si>
  <si>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</si>
  <si>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</si>
  <si>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</si>
  <si>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</si>
  <si>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</si>
  <si>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</si>
  <si>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</si>
  <si>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</si>
  <si>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</si>
  <si>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</si>
  <si>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</si>
  <si>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</si>
  <si>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</si>
  <si>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</si>
  <si>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</si>
  <si>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</si>
  <si>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</si>
  <si>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</si>
  <si>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</si>
  <si>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</si>
  <si>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</si>
  <si>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</si>
  <si>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</si>
  <si>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</si>
  <si>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</si>
  <si>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</si>
  <si>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</si>
  <si>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</si>
  <si>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</si>
  <si>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</si>
  <si>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</si>
  <si>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</si>
  <si>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</si>
  <si>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</si>
  <si>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</si>
  <si>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</si>
  <si>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</si>
  <si>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</si>
  <si>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</si>
  <si>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</si>
  <si>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</si>
  <si>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</si>
  <si>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</si>
  <si>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</si>
  <si>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</si>
  <si>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</si>
  <si>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</si>
  <si>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</si>
  <si>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</si>
  <si>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</si>
  <si>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</si>
  <si>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</si>
  <si>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</si>
  <si>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</si>
  <si>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</si>
  <si>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</si>
  <si>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</si>
  <si>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</si>
  <si>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</si>
  <si>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</si>
  <si>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</si>
  <si>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</si>
  <si>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</si>
  <si>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</si>
  <si>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</si>
  <si>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</si>
  <si>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</si>
  <si>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</si>
  <si>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</si>
  <si>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</si>
  <si>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</si>
  <si>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</si>
  <si>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</si>
  <si>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</si>
  <si>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</si>
  <si>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</si>
  <si>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</si>
  <si>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</si>
  <si>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</si>
  <si>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</si>
  <si>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</si>
  <si>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</si>
  <si>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</si>
  <si>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</si>
  <si>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</si>
  <si>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</si>
  <si>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</si>
  <si>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</si>
  <si>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</si>
  <si>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</si>
  <si>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</si>
  <si>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</si>
  <si>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</si>
  <si>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</si>
  <si>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</si>
  <si>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</si>
  <si>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</si>
  <si>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</si>
  <si>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</si>
  <si>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</si>
  <si>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</si>
  <si>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</si>
  <si>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</si>
  <si>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</si>
  <si>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</si>
  <si>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</si>
  <si>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</si>
  <si>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</si>
  <si>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</si>
  <si>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</si>
  <si>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</si>
  <si>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</si>
  <si>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</si>
  <si>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</si>
  <si>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</si>
  <si>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</si>
  <si>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</si>
  <si>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</si>
  <si>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</si>
  <si>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</si>
  <si>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</si>
  <si>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</si>
  <si>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</si>
  <si>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</si>
  <si>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</si>
  <si>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</si>
  <si>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</si>
  <si>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</si>
  <si>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</si>
  <si>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</si>
  <si>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</si>
  <si>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</si>
  <si>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</si>
  <si>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</si>
  <si>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</si>
  <si>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</si>
  <si>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</si>
  <si>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</si>
  <si>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</si>
  <si>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</si>
  <si>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</si>
  <si>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</si>
  <si>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</si>
  <si>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</si>
  <si>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</si>
  <si>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</si>
  <si>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</si>
  <si>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</si>
  <si>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</si>
  <si>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</si>
  <si>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</si>
  <si>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</si>
  <si>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</si>
  <si>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</si>
  <si>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</si>
  <si>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</si>
  <si>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</si>
  <si>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</si>
  <si>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</si>
  <si>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</si>
  <si>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</si>
  <si>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</si>
  <si>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</si>
  <si>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</si>
  <si>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</si>
  <si>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</si>
  <si>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</si>
  <si>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</si>
  <si>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</si>
  <si>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</si>
  <si>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</si>
  <si>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</si>
  <si>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</si>
  <si>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</si>
  <si>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</si>
  <si>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</si>
  <si>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</si>
  <si>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</si>
  <si>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</si>
  <si>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</si>
  <si>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</si>
  <si>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</si>
  <si>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</si>
  <si>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</si>
  <si>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</si>
  <si>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</si>
  <si>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</si>
  <si>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</si>
  <si>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</si>
  <si>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</si>
  <si>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</si>
  <si>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</si>
  <si>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</si>
  <si>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</si>
  <si>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</si>
  <si>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</si>
  <si>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</si>
  <si>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</si>
  <si>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</si>
  <si>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</si>
  <si>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</si>
  <si>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</si>
  <si>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</si>
  <si>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</si>
  <si>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</si>
  <si>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</si>
  <si>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</si>
  <si>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</si>
  <si>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</si>
  <si>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</si>
  <si>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</si>
  <si>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</si>
  <si>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</si>
  <si>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</si>
  <si>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</si>
  <si>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</si>
  <si>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</si>
  <si>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</si>
  <si>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</si>
  <si>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</si>
  <si>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</si>
  <si>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</si>
  <si>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</si>
  <si>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</si>
  <si>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</si>
  <si>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</si>
  <si>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</si>
  <si>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</si>
  <si>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</si>
  <si>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</si>
  <si>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</si>
  <si>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</si>
  <si>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</si>
  <si>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</si>
  <si>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</si>
  <si>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</si>
  <si>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</si>
  <si>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</si>
  <si>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</si>
  <si>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</si>
  <si>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</si>
  <si>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</si>
  <si>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</si>
  <si>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</si>
  <si>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</si>
  <si>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</si>
  <si>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</si>
  <si>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</si>
  <si>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</si>
  <si>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</si>
  <si>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</si>
  <si>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</si>
  <si>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</si>
  <si>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</si>
  <si>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</si>
  <si>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</si>
  <si>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</si>
  <si>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</si>
  <si>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</si>
  <si>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</si>
  <si>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</si>
  <si>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</si>
  <si>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</si>
  <si>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</si>
  <si>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</si>
  <si>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</si>
  <si>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</si>
  <si>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</si>
  <si>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</si>
  <si>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</si>
  <si>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</si>
  <si>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</si>
  <si>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</si>
  <si>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</si>
  <si>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</si>
  <si>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</si>
  <si>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</si>
  <si>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</si>
  <si>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</si>
  <si>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</si>
  <si>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</si>
  <si>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</si>
  <si>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</si>
  <si>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</si>
  <si>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</si>
  <si>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</si>
  <si>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</si>
  <si>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</si>
  <si>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</si>
  <si>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</si>
  <si>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</si>
  <si>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</si>
  <si>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</si>
  <si>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</si>
  <si>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</si>
  <si>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</si>
  <si>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</si>
  <si>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</si>
  <si>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</si>
  <si>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</si>
  <si>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</si>
  <si>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</si>
  <si>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</si>
  <si>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</si>
  <si>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</si>
  <si>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</si>
  <si>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</si>
  <si>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</si>
  <si>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</si>
  <si>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</si>
  <si>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</si>
  <si>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</si>
  <si>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</si>
  <si>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</si>
  <si>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</si>
  <si>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</si>
  <si>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</si>
  <si>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</si>
  <si>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</si>
  <si>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</si>
  <si>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</si>
  <si>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</si>
  <si>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</si>
  <si>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</si>
  <si>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</si>
  <si>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</si>
  <si>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</si>
  <si>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</si>
  <si>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</si>
  <si>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</si>
  <si>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</si>
  <si>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</si>
  <si>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</si>
  <si>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</si>
  <si>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</si>
  <si>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</si>
  <si>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</si>
  <si>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</si>
  <si>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</si>
  <si>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</si>
  <si>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</si>
  <si>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</si>
  <si>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</si>
  <si>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</si>
  <si>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</si>
  <si>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</si>
  <si>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</si>
  <si>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</si>
  <si>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</si>
  <si>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</si>
  <si>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</si>
  <si>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</si>
  <si>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</si>
  <si>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</si>
  <si>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</si>
  <si>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</si>
  <si>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</si>
  <si>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</si>
  <si>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</si>
  <si>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</si>
  <si>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</si>
  <si>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</si>
  <si>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</si>
  <si>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</si>
  <si>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</si>
  <si>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</si>
  <si>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</si>
  <si>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</si>
  <si>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</si>
  <si>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</si>
  <si>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</si>
  <si>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</si>
  <si>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</si>
  <si>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</si>
  <si>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</si>
  <si>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</si>
  <si>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</si>
  <si>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</si>
  <si>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</si>
  <si>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</si>
  <si>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</si>
  <si>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</si>
  <si>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</si>
  <si>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</si>
  <si>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</si>
  <si>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</si>
  <si>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</si>
  <si>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</si>
  <si>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</si>
  <si>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</si>
  <si>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</si>
  <si>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</si>
  <si>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</si>
  <si>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</si>
  <si>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</si>
  <si>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</si>
  <si>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</si>
  <si>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</si>
  <si>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</si>
  <si>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</si>
  <si>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</si>
  <si>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</si>
  <si>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</si>
  <si>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</si>
  <si>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</si>
  <si>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</si>
  <si>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</si>
  <si>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</si>
  <si>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</si>
  <si>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</si>
  <si>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</si>
  <si>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</si>
  <si>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</si>
  <si>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</si>
  <si>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</si>
  <si>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</si>
  <si>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</si>
  <si>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</si>
  <si>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</si>
  <si>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</si>
  <si>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</si>
  <si>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</si>
  <si>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</si>
  <si>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</si>
  <si>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</si>
  <si>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</si>
  <si>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</si>
  <si>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</si>
  <si>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</si>
  <si>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</si>
  <si>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</si>
  <si>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</si>
  <si>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</si>
  <si>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</si>
  <si>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</si>
  <si>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</si>
  <si>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</si>
  <si>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</si>
  <si>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</si>
  <si>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</si>
  <si>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</si>
  <si>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</si>
  <si>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</si>
  <si>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</si>
  <si>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</si>
  <si>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</si>
  <si>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</si>
  <si>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</si>
  <si>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</si>
  <si>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</si>
  <si>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</si>
  <si>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</si>
  <si>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</si>
  <si>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</si>
  <si>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</si>
  <si>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</si>
  <si>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</si>
  <si>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</si>
  <si>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</si>
  <si>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</si>
  <si>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</si>
  <si>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</si>
  <si>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</si>
  <si>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</si>
  <si>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</si>
  <si>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</si>
  <si>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</si>
  <si>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</si>
  <si>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</si>
  <si>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</si>
  <si>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</si>
  <si>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</si>
  <si>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</si>
  <si>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</si>
  <si>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</si>
  <si>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</si>
  <si>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</si>
  <si>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</si>
  <si>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</si>
  <si>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</si>
  <si>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</si>
  <si>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</si>
  <si>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</si>
  <si>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</si>
  <si>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</si>
  <si>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</si>
  <si>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</si>
  <si>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</si>
  <si>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</si>
  <si>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</si>
  <si>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</si>
  <si>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</si>
  <si>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</si>
  <si>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</si>
  <si>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</si>
  <si>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</si>
  <si>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</si>
  <si>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</si>
  <si>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</si>
  <si>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</si>
  <si>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</si>
  <si>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</si>
  <si>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</si>
  <si>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</si>
  <si>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</si>
  <si>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</si>
  <si>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</si>
  <si>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</si>
  <si>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</si>
  <si>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</si>
  <si>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</si>
  <si>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</si>
  <si>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</si>
  <si>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</si>
  <si>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</si>
  <si>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</si>
  <si>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</si>
  <si>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</si>
  <si>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</si>
  <si>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</si>
  <si>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</si>
  <si>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</si>
  <si>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</si>
  <si>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</si>
  <si>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</si>
  <si>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</si>
  <si>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</si>
  <si>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</si>
  <si>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</si>
  <si>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</si>
  <si>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</si>
  <si>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</si>
  <si>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</si>
  <si>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</si>
  <si>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</si>
  <si>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</si>
  <si>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</si>
  <si>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</si>
  <si>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</si>
  <si>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</si>
  <si>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</si>
  <si>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</si>
  <si>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</si>
  <si>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</si>
  <si>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</si>
  <si>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</si>
  <si>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</si>
  <si>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</si>
  <si>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</si>
  <si>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</si>
  <si>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</si>
  <si>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</si>
  <si>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</si>
  <si>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</si>
  <si>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</si>
  <si>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</si>
  <si>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</si>
  <si>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</si>
  <si>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</si>
  <si>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</si>
  <si>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</si>
  <si>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</si>
  <si>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</si>
  <si>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</si>
  <si>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</si>
  <si>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</si>
  <si>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</si>
  <si>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</si>
  <si>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</si>
  <si>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</si>
  <si>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</si>
  <si>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</si>
  <si>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</si>
  <si>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</si>
  <si>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</si>
  <si>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</si>
  <si>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</si>
  <si>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</si>
  <si>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</si>
  <si>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</si>
  <si>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</si>
  <si>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</si>
  <si>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</si>
  <si>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</si>
  <si>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</si>
  <si>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</si>
  <si>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</si>
  <si>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</si>
  <si>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</si>
  <si>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</si>
  <si>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</si>
  <si>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</si>
  <si>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</si>
  <si>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</si>
  <si>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</si>
  <si>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</si>
  <si>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</si>
  <si>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</si>
  <si>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</si>
  <si>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</si>
  <si>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</si>
  <si>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</si>
  <si>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</si>
  <si>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</si>
  <si>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</si>
  <si>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</si>
  <si>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</si>
  <si>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</si>
  <si>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</si>
  <si>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</si>
  <si>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</si>
  <si>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</si>
  <si>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</si>
  <si>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</si>
  <si>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</si>
  <si>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</si>
  <si>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</si>
  <si>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</si>
  <si>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</si>
  <si>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</si>
  <si>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</si>
  <si>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</si>
  <si>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</si>
  <si>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</si>
  <si>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</si>
  <si>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</si>
  <si>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</si>
  <si>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</si>
  <si>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</si>
  <si>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</si>
  <si>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</si>
  <si>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</si>
  <si>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</si>
  <si>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</si>
  <si>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</si>
  <si>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</si>
  <si>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</si>
  <si>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</si>
  <si>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</si>
  <si>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</si>
  <si>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</si>
  <si>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</si>
  <si>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</si>
  <si>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</si>
  <si>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</si>
  <si>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</si>
  <si>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</si>
  <si>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</si>
  <si>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</si>
  <si>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</si>
  <si>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</si>
  <si>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</si>
  <si>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</si>
  <si>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</si>
  <si>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</si>
  <si>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</si>
  <si>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</si>
  <si>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</si>
  <si>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</si>
  <si>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</si>
  <si>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</si>
  <si>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</si>
  <si>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</si>
  <si>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</si>
  <si>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</si>
  <si>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</si>
  <si>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</si>
  <si>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</si>
  <si>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</si>
  <si>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</si>
  <si>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</si>
  <si>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</si>
  <si>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</si>
  <si>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</si>
  <si>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</si>
  <si>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</si>
  <si>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</si>
  <si>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</si>
  <si>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</si>
  <si>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</si>
  <si>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</si>
  <si>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</si>
  <si>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</si>
  <si>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</si>
  <si>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</si>
  <si>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</si>
  <si>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</si>
  <si>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</si>
  <si>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</si>
  <si>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</si>
  <si>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</si>
  <si>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</si>
  <si>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</si>
  <si>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</si>
  <si>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</si>
  <si>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</si>
  <si>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</si>
  <si>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</si>
  <si>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</si>
  <si>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</si>
  <si>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</si>
  <si>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</si>
  <si>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</si>
  <si>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</si>
  <si>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</si>
  <si>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</si>
  <si>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</si>
  <si>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</si>
  <si>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</si>
  <si>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</si>
  <si>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</si>
  <si>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</si>
  <si>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</si>
  <si>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</si>
  <si>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</si>
  <si>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</si>
  <si>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</si>
  <si>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</si>
  <si>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</si>
  <si>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</si>
  <si>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</si>
  <si>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</si>
  <si>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</si>
  <si>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</si>
  <si>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</si>
  <si>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</si>
  <si>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</si>
  <si>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</si>
  <si>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</si>
  <si>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</si>
  <si>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</si>
  <si>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</si>
  <si>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</si>
  <si>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</si>
  <si>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</si>
  <si>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</si>
  <si>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</si>
  <si>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</si>
  <si>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</si>
  <si>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</si>
  <si>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</si>
  <si>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</si>
  <si>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</si>
  <si>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</si>
  <si>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</si>
  <si>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</si>
  <si>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</si>
  <si>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</si>
  <si>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</si>
  <si>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</si>
  <si>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</si>
  <si>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</si>
  <si>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</si>
  <si>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</si>
  <si>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</si>
  <si>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</si>
  <si>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</si>
  <si>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</si>
  <si>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</si>
  <si>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</si>
  <si>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</si>
  <si>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</si>
  <si>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</si>
  <si>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</si>
  <si>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</si>
  <si>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</si>
  <si>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</si>
  <si>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</si>
  <si>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</si>
  <si>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</si>
  <si>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</si>
  <si>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</si>
  <si>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</si>
  <si>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</si>
  <si>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</si>
  <si>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</si>
  <si>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</si>
  <si>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</si>
  <si>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</si>
  <si>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</si>
  <si>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</si>
  <si>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</si>
  <si>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</si>
  <si>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</si>
  <si>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</si>
  <si>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</si>
  <si>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</si>
  <si>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</si>
  <si>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</si>
  <si>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</si>
  <si>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</si>
  <si>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</si>
  <si>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</si>
  <si>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</si>
  <si>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</si>
  <si>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</si>
  <si>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</si>
  <si>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</si>
  <si>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</si>
  <si>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</si>
  <si>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</si>
  <si>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</si>
  <si>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</si>
  <si>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</si>
  <si>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</si>
  <si>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</si>
  <si>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</si>
  <si>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</si>
  <si>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</si>
  <si>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</si>
  <si>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</si>
  <si>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</si>
  <si>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</si>
  <si>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</si>
  <si>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</si>
  <si>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</si>
  <si>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</si>
  <si>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</si>
  <si>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</si>
  <si>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</si>
  <si>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</si>
  <si>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</si>
  <si>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</si>
  <si>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</si>
  <si>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</si>
  <si>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</si>
  <si>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</si>
  <si>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</si>
  <si>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</si>
  <si>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</si>
  <si>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</si>
  <si>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</si>
  <si>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</si>
  <si>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</si>
  <si>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</si>
  <si>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</si>
  <si>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</si>
  <si>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</si>
  <si>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</si>
  <si>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</si>
  <si>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</si>
  <si>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</si>
  <si>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</si>
  <si>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</si>
  <si>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</si>
  <si>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</si>
  <si>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</si>
  <si>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</si>
  <si>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</si>
  <si>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</si>
  <si>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</si>
  <si>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</si>
  <si>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</si>
  <si>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</si>
  <si>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</si>
  <si>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</si>
  <si>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</si>
  <si>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</si>
  <si>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</si>
  <si>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</si>
  <si>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</si>
  <si>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</si>
  <si>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</si>
  <si>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</si>
  <si>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</si>
  <si>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</si>
  <si>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</si>
  <si>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</si>
  <si>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</si>
  <si>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</si>
  <si>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</si>
  <si>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</si>
  <si>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</si>
  <si>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</si>
  <si>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</si>
  <si>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</si>
  <si>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</si>
  <si>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</si>
  <si>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</si>
  <si>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</si>
  <si>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</si>
  <si>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</si>
  <si>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</si>
  <si>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</si>
  <si>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</si>
  <si>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</si>
  <si>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</si>
  <si>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</si>
  <si>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</si>
  <si>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</si>
  <si>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</si>
  <si>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</si>
  <si>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</si>
  <si>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</si>
  <si>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</si>
  <si>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</si>
  <si>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</si>
  <si>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</si>
  <si>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</si>
  <si>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</si>
  <si>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</si>
  <si>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</si>
  <si>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</si>
  <si>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</si>
  <si>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</si>
  <si>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</si>
  <si>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</si>
  <si>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</si>
  <si>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</si>
  <si>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</si>
  <si>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</si>
  <si>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</si>
  <si>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</si>
  <si>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</si>
  <si>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</si>
  <si>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</si>
  <si>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</si>
  <si>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</si>
  <si>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</si>
  <si>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</si>
  <si>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</si>
  <si>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</si>
  <si>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</si>
  <si>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</si>
  <si>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</si>
  <si>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</si>
  <si>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</si>
  <si>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</si>
  <si>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</si>
  <si>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</si>
  <si>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</si>
  <si>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</si>
  <si>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</si>
  <si>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</si>
  <si>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</si>
  <si>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</si>
  <si>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</si>
  <si>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</si>
  <si>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</si>
  <si>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</si>
  <si>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</si>
  <si>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</si>
  <si>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</si>
  <si>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</si>
  <si>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</si>
  <si>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</si>
  <si>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</si>
  <si>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</si>
  <si>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</si>
  <si>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</si>
  <si>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</si>
  <si>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</si>
  <si>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</si>
  <si>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</si>
  <si>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</si>
  <si>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</si>
  <si>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</si>
  <si>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</si>
  <si>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</si>
  <si>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</si>
  <si>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</si>
  <si>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</si>
  <si>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</si>
  <si>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</si>
  <si>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</si>
  <si>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</si>
  <si>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</si>
  <si>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</si>
  <si>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</si>
  <si>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</si>
  <si>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</si>
  <si>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</si>
  <si>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</si>
  <si>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</si>
  <si>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</si>
  <si>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</si>
  <si>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</si>
  <si>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</si>
  <si>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</si>
  <si>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</si>
  <si>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</si>
  <si>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</si>
  <si>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</si>
  <si>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</si>
  <si>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</si>
  <si>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</si>
  <si>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</si>
  <si>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</si>
  <si>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</si>
  <si>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</si>
  <si>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</si>
  <si>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</si>
  <si>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</si>
  <si>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</si>
  <si>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</si>
  <si>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</si>
  <si>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</si>
  <si>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</si>
  <si>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</si>
  <si>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</si>
  <si>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</si>
  <si>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</si>
  <si>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</si>
  <si>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</si>
  <si>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</si>
  <si>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</si>
  <si>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</si>
  <si>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</si>
  <si>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</si>
  <si>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</si>
  <si>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</si>
  <si>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</si>
  <si>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</si>
  <si>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</si>
  <si>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</si>
  <si>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</si>
  <si>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</si>
  <si>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</si>
  <si>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</si>
  <si>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</si>
  <si>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</si>
  <si>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</si>
  <si>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</si>
  <si>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</si>
  <si>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</si>
  <si>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</si>
  <si>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</si>
  <si>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</si>
  <si>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</si>
  <si>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</si>
  <si>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</si>
  <si>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</si>
  <si>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</si>
  <si>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</si>
  <si>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</si>
  <si>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</si>
  <si>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</si>
  <si>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</si>
  <si>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</si>
  <si>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</si>
  <si>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</si>
  <si>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</si>
  <si>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</si>
  <si>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</si>
  <si>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</si>
  <si>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</si>
  <si>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</si>
  <si>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</si>
  <si>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</si>
  <si>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</si>
  <si>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</si>
  <si>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</si>
  <si>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</si>
  <si>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</si>
  <si>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</si>
  <si>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</si>
  <si>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</si>
  <si>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</si>
  <si>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</si>
  <si>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</si>
  <si>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</si>
  <si>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</si>
  <si>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</si>
  <si>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</si>
  <si>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</si>
  <si>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</si>
  <si>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</si>
  <si>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</si>
  <si>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</si>
  <si>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</si>
  <si>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</si>
  <si>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</si>
  <si>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</si>
  <si>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</si>
  <si>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</si>
  <si>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</si>
  <si>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</si>
  <si>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</si>
  <si>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</si>
  <si>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</si>
  <si>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</si>
  <si>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</si>
  <si>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</si>
  <si>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</si>
  <si>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</si>
  <si>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</si>
  <si>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</si>
  <si>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</si>
  <si>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</si>
  <si>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</si>
  <si>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</si>
  <si>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</si>
  <si>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</si>
  <si>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</si>
  <si>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</si>
  <si>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</si>
  <si>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</si>
  <si>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</si>
  <si>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</si>
  <si>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</si>
  <si>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</si>
  <si>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</si>
  <si>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</si>
  <si>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</si>
  <si>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</si>
  <si>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</si>
  <si>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</si>
  <si>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</si>
  <si>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</si>
  <si>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</si>
  <si>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</si>
  <si>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</si>
  <si>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</si>
  <si>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</si>
  <si>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</si>
  <si>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</si>
  <si>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</si>
  <si>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</si>
  <si>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</si>
  <si>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</si>
  <si>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</si>
  <si>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</si>
  <si>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</si>
  <si>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</si>
  <si>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</si>
  <si>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</si>
  <si>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</si>
  <si>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</si>
  <si>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</si>
  <si>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</si>
  <si>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</si>
  <si>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</si>
  <si>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</si>
  <si>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</si>
  <si>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</si>
  <si>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</si>
  <si>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</si>
  <si>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</si>
  <si>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</si>
  <si>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</si>
  <si>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</si>
  <si>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</si>
  <si>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</si>
  <si>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</si>
  <si>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</si>
  <si>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</si>
  <si>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</si>
  <si>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</si>
  <si>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</si>
  <si>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</si>
  <si>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</si>
  <si>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</si>
  <si>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</si>
  <si>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</si>
  <si>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</si>
  <si>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</si>
  <si>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</si>
  <si>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</si>
  <si>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</si>
  <si>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</si>
  <si>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</si>
  <si>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</si>
  <si>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</si>
  <si>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</si>
  <si>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</si>
  <si>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</si>
  <si>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</si>
  <si>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</si>
  <si>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</si>
  <si>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</si>
  <si>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</si>
  <si>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</si>
  <si>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</si>
  <si>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</si>
  <si>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</si>
  <si>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</si>
  <si>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</si>
  <si>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</si>
  <si>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</si>
  <si>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</si>
  <si>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</si>
  <si>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</si>
  <si>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</si>
  <si>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</si>
  <si>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</si>
  <si>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</si>
  <si>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</si>
  <si>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</si>
  <si>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</si>
  <si>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</si>
  <si>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</si>
  <si>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</si>
  <si>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</si>
  <si>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</si>
  <si>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</si>
  <si>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</si>
  <si>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</si>
  <si>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</si>
  <si>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</si>
  <si>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</si>
  <si>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</si>
  <si>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</si>
  <si>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</si>
  <si>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</si>
  <si>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</si>
  <si>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</si>
  <si>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</si>
  <si>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</si>
  <si>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</si>
  <si>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</si>
  <si>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</si>
  <si>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</si>
  <si>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</si>
  <si>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</si>
  <si>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</si>
  <si>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</si>
  <si>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</si>
  <si>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</si>
  <si>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</si>
  <si>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</si>
  <si>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</si>
  <si>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</si>
  <si>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</si>
  <si>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</si>
  <si>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</si>
  <si>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</si>
  <si>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</si>
  <si>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</si>
  <si>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</si>
  <si>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</si>
  <si>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</si>
  <si>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</si>
  <si>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</si>
  <si>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</si>
  <si>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</si>
  <si>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</si>
  <si>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</si>
  <si>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</si>
  <si>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</si>
  <si>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</si>
  <si>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</si>
  <si>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</si>
  <si>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</si>
  <si>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</si>
  <si>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</si>
  <si>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</si>
  <si>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</si>
  <si>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</si>
  <si>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</si>
  <si>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</si>
  <si>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</si>
  <si>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</si>
  <si>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</si>
  <si>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</si>
  <si>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</si>
  <si>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</si>
  <si>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</si>
  <si>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</si>
  <si>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</si>
  <si>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</si>
  <si>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</si>
  <si>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</si>
  <si>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</si>
  <si>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</si>
  <si>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</si>
  <si>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</si>
  <si>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</si>
  <si>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</si>
  <si>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</si>
  <si>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</si>
  <si>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</si>
  <si>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</si>
  <si>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</si>
  <si>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</si>
  <si>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</si>
  <si>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</si>
  <si>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</si>
  <si>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</si>
  <si>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</si>
  <si>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</si>
  <si>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</si>
  <si>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</si>
  <si>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</si>
  <si>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</si>
  <si>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</si>
  <si>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</si>
  <si>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</si>
  <si>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</si>
  <si>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</si>
  <si>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</si>
  <si>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</si>
  <si>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</si>
  <si>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</si>
  <si>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</si>
  <si>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</si>
  <si>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</si>
  <si>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</si>
  <si>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</si>
  <si>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</si>
  <si>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</si>
  <si>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</si>
  <si>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</si>
  <si>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</si>
  <si>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</si>
  <si>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</si>
  <si>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</si>
  <si>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</si>
  <si>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</si>
  <si>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</si>
  <si>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</si>
  <si>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</si>
  <si>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</si>
  <si>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</si>
  <si>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</si>
  <si>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</si>
  <si>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</si>
  <si>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</si>
  <si>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</si>
  <si>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</si>
  <si>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</si>
  <si>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</si>
  <si>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</si>
  <si>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</si>
  <si>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</si>
  <si>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</si>
  <si>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</si>
  <si>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</si>
  <si>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</si>
  <si>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</si>
  <si>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</si>
  <si>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</si>
  <si>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</si>
  <si>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</si>
  <si>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</si>
  <si>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</si>
  <si>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</si>
  <si>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</si>
  <si>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</si>
  <si>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</si>
  <si>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</si>
  <si>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</si>
  <si>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</si>
  <si>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</si>
  <si>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</si>
  <si>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</si>
  <si>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</si>
  <si>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</si>
  <si>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</si>
  <si>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</si>
  <si>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</si>
  <si>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</si>
  <si>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</si>
  <si>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</si>
  <si>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</si>
  <si>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</si>
  <si>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</si>
  <si>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</si>
  <si>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</si>
  <si>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</si>
  <si>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</si>
  <si>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</si>
  <si>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</si>
  <si>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</si>
  <si>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</si>
  <si>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</si>
  <si>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</si>
  <si>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</si>
  <si>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</si>
  <si>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</si>
  <si>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</si>
  <si>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</si>
  <si>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</si>
  <si>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</si>
  <si>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</si>
  <si>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</si>
  <si>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</si>
  <si>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</si>
  <si>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</si>
  <si>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</si>
  <si>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</si>
  <si>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</si>
  <si>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</si>
  <si>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</si>
  <si>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</si>
  <si>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</si>
  <si>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</si>
  <si>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</si>
  <si>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</si>
  <si>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</si>
  <si>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</si>
  <si>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</si>
  <si>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</si>
  <si>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</si>
  <si>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</si>
  <si>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</si>
  <si>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</si>
  <si>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</si>
  <si>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</si>
  <si>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</si>
  <si>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</si>
  <si>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</si>
  <si>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</si>
  <si>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</si>
  <si>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</si>
  <si>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</si>
  <si>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</si>
  <si>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</si>
  <si>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</si>
  <si>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</si>
  <si>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</si>
  <si>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</si>
  <si>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</si>
  <si>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</si>
  <si>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</si>
  <si>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</si>
  <si>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</si>
  <si>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</si>
  <si>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</si>
  <si>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</si>
  <si>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</si>
  <si>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</si>
  <si>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</si>
  <si>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</si>
  <si>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</si>
  <si>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</si>
  <si>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</si>
  <si>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</si>
  <si>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</si>
  <si>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</si>
  <si>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</si>
  <si>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</si>
  <si>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</si>
  <si>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</si>
  <si>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</si>
  <si>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</si>
  <si>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</si>
  <si>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</si>
  <si>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</si>
  <si>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</si>
  <si>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</si>
  <si>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</si>
  <si>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</si>
  <si>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</si>
  <si>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</si>
  <si>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</si>
  <si>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</si>
  <si>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</si>
  <si>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</si>
  <si>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</si>
  <si>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</si>
  <si>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</si>
  <si>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</si>
  <si>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</si>
  <si>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</si>
  <si>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</si>
  <si>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</si>
  <si>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</si>
  <si>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</si>
  <si>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</si>
  <si>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</si>
  <si>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</si>
  <si>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</si>
  <si>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</si>
  <si>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</si>
  <si>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</si>
  <si>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</si>
  <si>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</si>
  <si>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</si>
  <si>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</si>
  <si>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</si>
  <si>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</si>
  <si>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</si>
  <si>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</si>
  <si>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</si>
  <si>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</si>
  <si>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</si>
  <si>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</si>
  <si>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</si>
  <si>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</si>
  <si>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</si>
  <si>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</si>
  <si>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</si>
  <si>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</si>
  <si>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</si>
  <si>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</si>
  <si>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</si>
  <si>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</si>
  <si>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</si>
  <si>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</si>
  <si>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</si>
  <si>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</si>
  <si>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</si>
  <si>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</si>
  <si>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</si>
  <si>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</si>
  <si>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</si>
  <si>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</si>
  <si>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</si>
  <si>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</si>
  <si>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</si>
  <si>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</si>
  <si>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</si>
  <si>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</si>
  <si>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</si>
  <si>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</si>
  <si>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</si>
  <si>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</si>
  <si>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</si>
  <si>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</si>
  <si>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</si>
  <si>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</si>
  <si>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</si>
  <si>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</si>
  <si>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</si>
  <si>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</si>
  <si>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</si>
  <si>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</si>
  <si>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</si>
  <si>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</si>
  <si>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</si>
  <si>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</si>
  <si>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</si>
  <si>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</si>
  <si>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</si>
  <si>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</si>
  <si>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</si>
  <si>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</si>
  <si>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</si>
  <si>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</si>
  <si>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</si>
  <si>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</si>
  <si>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</si>
  <si>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</si>
  <si>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</si>
  <si>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</si>
  <si>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</si>
  <si>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</si>
  <si>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</si>
  <si>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</si>
  <si>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</si>
  <si>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</si>
  <si>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</si>
  <si>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</si>
  <si>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</si>
  <si>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</si>
  <si>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</si>
  <si>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</si>
  <si>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</si>
  <si>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</si>
  <si>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</si>
  <si>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</si>
  <si>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</si>
  <si>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</si>
  <si>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</si>
  <si>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</si>
  <si>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</si>
  <si>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</si>
  <si>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</si>
  <si>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</si>
  <si>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</si>
  <si>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</si>
  <si>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</si>
  <si>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</si>
  <si>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</si>
  <si>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</si>
  <si>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</si>
  <si>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</si>
  <si>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</si>
  <si>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</si>
  <si>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</si>
  <si>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</si>
  <si>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</si>
  <si>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</si>
  <si>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</si>
  <si>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</si>
  <si>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</si>
  <si>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</si>
  <si>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</si>
  <si>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</si>
  <si>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</si>
  <si>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</si>
  <si>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</si>
  <si>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</si>
  <si>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</si>
  <si>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</si>
  <si>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</si>
  <si>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</si>
  <si>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</si>
  <si>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</si>
  <si>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</si>
  <si>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</si>
  <si>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</si>
  <si>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</si>
  <si>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</si>
  <si>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</si>
  <si>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</si>
  <si>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</si>
  <si>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</si>
  <si>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</si>
  <si>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</si>
  <si>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</si>
  <si>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</si>
  <si>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</si>
  <si>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</si>
  <si>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</si>
  <si>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</si>
  <si>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</si>
  <si>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</si>
  <si>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</si>
  <si>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</si>
  <si>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</si>
  <si>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</si>
  <si>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</si>
  <si>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</si>
  <si>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</si>
  <si>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</si>
  <si>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</si>
  <si>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</si>
  <si>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</si>
  <si>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</si>
  <si>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</si>
  <si>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</si>
  <si>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</si>
  <si>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</si>
  <si>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</si>
  <si>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</si>
  <si>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</si>
  <si>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</si>
  <si>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</si>
  <si>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</si>
  <si>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</si>
  <si>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</si>
  <si>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</si>
  <si>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</si>
  <si>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</si>
  <si>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</si>
  <si>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</si>
  <si>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</si>
  <si>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</si>
  <si>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</si>
  <si>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</si>
  <si>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</si>
  <si>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</si>
  <si>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</si>
  <si>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</si>
  <si>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</si>
  <si>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</si>
  <si>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</si>
  <si>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</si>
  <si>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</si>
  <si>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</si>
  <si>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</si>
  <si>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</si>
  <si>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</si>
  <si>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</si>
  <si>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</si>
  <si>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</si>
  <si>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</si>
  <si>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</si>
  <si>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</si>
  <si>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</si>
  <si>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</si>
  <si>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</si>
  <si>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</si>
  <si>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</si>
  <si>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</si>
  <si>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</si>
  <si>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</si>
  <si>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</si>
  <si>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</si>
  <si>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</si>
  <si>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</si>
  <si>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</si>
  <si>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</si>
  <si>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</si>
  <si>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</si>
  <si>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</si>
  <si>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</si>
  <si>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</si>
  <si>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</si>
  <si>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</si>
  <si>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</si>
  <si>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</si>
  <si>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</si>
  <si>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</si>
  <si>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</si>
  <si>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</si>
  <si>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</si>
  <si>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</si>
  <si>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</si>
  <si>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</si>
  <si>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</si>
  <si>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</si>
  <si>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</si>
  <si>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</si>
  <si>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</si>
  <si>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</si>
  <si>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</si>
  <si>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</si>
  <si>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</si>
  <si>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</si>
  <si>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</si>
  <si>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</si>
  <si>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</si>
  <si>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</si>
  <si>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</si>
  <si>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</si>
  <si>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</si>
  <si>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</si>
  <si>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</si>
  <si>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</si>
  <si>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</si>
  <si>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</si>
  <si>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</si>
  <si>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</si>
  <si>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</si>
  <si>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</si>
  <si>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</si>
  <si>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</si>
  <si>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</si>
  <si>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</si>
  <si>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</si>
  <si>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</si>
  <si>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</si>
  <si>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</si>
  <si>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</si>
  <si>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</si>
  <si>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</si>
  <si>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</si>
  <si>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</si>
  <si>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</si>
  <si>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</si>
  <si>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</si>
  <si>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</si>
  <si>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</si>
  <si>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</si>
  <si>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</si>
  <si>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</si>
  <si>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</si>
  <si>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</si>
  <si>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</si>
  <si>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</si>
  <si>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</si>
  <si>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</si>
  <si>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</si>
  <si>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</si>
  <si>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</si>
  <si>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</si>
  <si>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</si>
  <si>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</si>
  <si>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</si>
  <si>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</si>
  <si>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</si>
  <si>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</si>
  <si>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</si>
  <si>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</si>
  <si>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</si>
  <si>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</si>
  <si>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</si>
  <si>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</si>
  <si>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</si>
  <si>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</si>
  <si>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</si>
  <si>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</si>
  <si>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</si>
  <si>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</si>
  <si>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</si>
  <si>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</si>
  <si>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</si>
  <si>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</si>
  <si>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</si>
  <si>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</si>
  <si>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</si>
  <si>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</si>
  <si>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</si>
  <si>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</si>
  <si>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</si>
  <si>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</si>
  <si>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</si>
  <si>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</si>
  <si>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</si>
  <si>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</si>
  <si>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</si>
  <si>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</si>
  <si>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</si>
  <si>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</si>
  <si>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</si>
  <si>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</si>
  <si>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</si>
  <si>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</si>
  <si>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</si>
  <si>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</si>
  <si>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</si>
  <si>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</si>
  <si>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</si>
  <si>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</si>
  <si>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</si>
  <si>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</si>
  <si>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</si>
  <si>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</si>
  <si>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</si>
  <si>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</si>
  <si>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</si>
  <si>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</si>
  <si>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</si>
  <si>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</si>
  <si>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</si>
  <si>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</si>
  <si>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</si>
  <si>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</si>
  <si>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</si>
  <si>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</si>
  <si>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</si>
  <si>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</si>
  <si>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</si>
  <si>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</si>
  <si>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</si>
  <si>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</si>
  <si>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</si>
  <si>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</si>
  <si>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</si>
  <si>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</si>
  <si>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</si>
  <si>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</si>
  <si>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</si>
  <si>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</si>
  <si>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</si>
  <si>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</si>
  <si>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</si>
  <si>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</si>
  <si>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</si>
  <si>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</si>
  <si>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</si>
  <si>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</si>
  <si>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</si>
  <si>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</si>
  <si>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</si>
  <si>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</si>
  <si>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</si>
  <si>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</si>
  <si>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</si>
  <si>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</si>
  <si>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</si>
  <si>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</si>
  <si>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</si>
  <si>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</si>
  <si>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</si>
  <si>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</si>
  <si>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</si>
  <si>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</si>
  <si>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</si>
  <si>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</si>
  <si>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</si>
  <si>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</si>
  <si>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</si>
  <si>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</si>
  <si>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</si>
  <si>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</si>
  <si>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</si>
  <si>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</si>
  <si>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</si>
  <si>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</si>
  <si>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</si>
  <si>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</si>
  <si>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</si>
  <si>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</si>
  <si>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</si>
  <si>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</si>
  <si>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</si>
  <si>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</si>
  <si>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</si>
  <si>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</si>
  <si>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</si>
  <si>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</si>
  <si>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</si>
  <si>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</si>
  <si>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</si>
  <si>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</si>
  <si>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</si>
  <si>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</si>
  <si>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</si>
  <si>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</si>
  <si>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</si>
  <si>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</si>
  <si>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</si>
  <si>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</si>
  <si>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</si>
  <si>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</si>
  <si>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</si>
  <si>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</si>
  <si>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</si>
  <si>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</si>
  <si>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</si>
  <si>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</si>
  <si>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</si>
  <si>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</si>
  <si>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</si>
  <si>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</si>
  <si>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</si>
  <si>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</si>
  <si>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</si>
  <si>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</si>
  <si>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</si>
  <si>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</si>
  <si>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</si>
  <si>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</si>
  <si>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</si>
  <si>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</si>
  <si>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</si>
  <si>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</si>
  <si>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</si>
  <si>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</si>
  <si>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</si>
  <si>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</si>
  <si>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</si>
  <si>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</si>
  <si>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</si>
  <si>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</si>
  <si>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</si>
  <si>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</si>
  <si>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</si>
  <si>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</si>
  <si>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</si>
  <si>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</si>
  <si>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</si>
  <si>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</si>
  <si>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</si>
  <si>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</si>
  <si>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</si>
  <si>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</si>
  <si>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</si>
  <si>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</si>
  <si>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</si>
  <si>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</si>
  <si>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</si>
  <si>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</si>
  <si>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</si>
  <si>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</si>
  <si>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</si>
  <si>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</si>
  <si>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</si>
  <si>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</si>
  <si>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</si>
  <si>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</si>
  <si>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</si>
  <si>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</si>
  <si>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</si>
  <si>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</si>
  <si>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</si>
  <si>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</si>
  <si>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</si>
  <si>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</si>
  <si>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</si>
  <si>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</si>
  <si>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</si>
  <si>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</si>
  <si>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</si>
  <si>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</si>
  <si>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</si>
  <si>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</si>
  <si>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</si>
  <si>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</si>
  <si>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</si>
  <si>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</si>
  <si>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</si>
  <si>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</si>
  <si>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</si>
  <si>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</si>
  <si>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</si>
  <si>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</si>
  <si>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</si>
  <si>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</si>
  <si>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</si>
  <si>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</si>
  <si>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</si>
  <si>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</si>
  <si>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</si>
  <si>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</si>
  <si>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</si>
  <si>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</si>
  <si>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</si>
  <si>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</si>
  <si>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</si>
  <si>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</si>
  <si>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</si>
  <si>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</si>
  <si>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</si>
  <si>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</si>
  <si>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</si>
  <si>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</si>
  <si>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</si>
  <si>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</si>
  <si>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</si>
  <si>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</si>
  <si>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</si>
  <si>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</si>
  <si>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</si>
  <si>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</si>
  <si>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</si>
  <si>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</si>
  <si>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</si>
  <si>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</si>
  <si>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</si>
  <si>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</si>
  <si>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</si>
  <si>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</si>
  <si>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</si>
  <si>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</si>
  <si>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</si>
  <si>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</si>
  <si>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</si>
  <si>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</si>
  <si>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</si>
  <si>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</si>
  <si>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</si>
  <si>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</si>
  <si>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</si>
  <si>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</si>
  <si>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</si>
  <si>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</si>
  <si>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</si>
  <si>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</si>
  <si>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</si>
  <si>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</si>
  <si>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</si>
  <si>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</si>
  <si>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</si>
  <si>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</si>
  <si>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</si>
  <si>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</si>
  <si>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</si>
  <si>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</si>
  <si>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</si>
  <si>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</si>
  <si>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</si>
  <si>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</si>
  <si>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</si>
  <si>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</si>
  <si>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</si>
  <si>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</si>
  <si>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</si>
  <si>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</si>
  <si>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</si>
  <si>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</si>
  <si>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</si>
  <si>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</si>
  <si>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</si>
  <si>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</si>
  <si>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</si>
  <si>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</si>
  <si>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</si>
  <si>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</si>
  <si>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</si>
  <si>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</si>
  <si>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</si>
  <si>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</si>
  <si>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</si>
  <si>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</si>
  <si>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</si>
  <si>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</si>
  <si>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</si>
  <si>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</si>
  <si>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</si>
  <si>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</si>
  <si>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</si>
  <si>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</si>
  <si>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</si>
  <si>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</si>
  <si>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</si>
  <si>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</si>
  <si>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</si>
  <si>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</si>
  <si>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</si>
  <si>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</si>
  <si>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</si>
  <si>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</si>
  <si>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</si>
  <si>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</si>
  <si>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</si>
  <si>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</si>
  <si>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</si>
  <si>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</si>
  <si>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</si>
  <si>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</si>
  <si>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</si>
  <si>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</si>
  <si>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</si>
  <si>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</si>
  <si>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</si>
  <si>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</si>
  <si>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</si>
  <si>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</si>
  <si>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</si>
  <si>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</si>
  <si>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</si>
  <si>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</si>
  <si>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</si>
  <si>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</si>
  <si>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</si>
  <si>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</si>
  <si>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</si>
  <si>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</si>
  <si>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</si>
  <si>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</si>
  <si>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</si>
  <si>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</si>
  <si>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</si>
  <si>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</si>
  <si>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</si>
  <si>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</si>
  <si>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</si>
  <si>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</si>
  <si>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</si>
  <si>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</si>
  <si>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</si>
  <si>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</si>
  <si>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</si>
  <si>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</si>
  <si>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</si>
  <si>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</si>
  <si>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</si>
  <si>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</si>
  <si>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</si>
  <si>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</si>
  <si>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</si>
  <si>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</si>
  <si>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</si>
  <si>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</si>
  <si>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</si>
  <si>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</si>
  <si>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</si>
  <si>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</si>
  <si>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</si>
  <si>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</si>
  <si>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</si>
  <si>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</si>
  <si>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</si>
  <si>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</si>
  <si>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</si>
  <si>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</si>
  <si>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</si>
  <si>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</si>
  <si>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</si>
  <si>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</si>
  <si>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</si>
  <si>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</si>
  <si>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</si>
  <si>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</si>
  <si>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</si>
  <si>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</si>
  <si>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</si>
  <si>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</si>
  <si>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</si>
  <si>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</si>
  <si>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</si>
  <si>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</si>
  <si>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</si>
  <si>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</si>
  <si>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</si>
  <si>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</si>
  <si>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</si>
  <si>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</si>
  <si>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</si>
  <si>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</si>
  <si>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</si>
  <si>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</si>
  <si>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</si>
  <si>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</si>
  <si>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</si>
  <si>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</si>
  <si>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</si>
  <si>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</si>
  <si>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</si>
  <si>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</si>
  <si>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</si>
  <si>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</si>
  <si>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</si>
  <si>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</si>
  <si>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</si>
  <si>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</si>
  <si>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</si>
  <si>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</si>
  <si>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</si>
  <si>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</si>
  <si>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</si>
  <si>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</si>
  <si>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</si>
  <si>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</si>
  <si>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</si>
  <si>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</si>
  <si>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</si>
  <si>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</si>
  <si>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</si>
  <si>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</si>
  <si>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</si>
  <si>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</si>
  <si>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</si>
  <si>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</si>
  <si>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</si>
  <si>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</si>
  <si>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</si>
  <si>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</si>
  <si>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</si>
  <si>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</si>
  <si>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</si>
  <si>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</si>
  <si>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</si>
  <si>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</si>
  <si>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</si>
  <si>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</si>
  <si>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</si>
  <si>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</si>
  <si>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</si>
  <si>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</si>
  <si>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</si>
  <si>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</si>
  <si>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</si>
  <si>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</si>
  <si>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</si>
  <si>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</si>
  <si>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</si>
  <si>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</si>
  <si>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</si>
  <si>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</si>
  <si>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</si>
  <si>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</si>
  <si>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</si>
  <si>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</si>
  <si>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</si>
  <si>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</si>
  <si>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</si>
  <si>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</si>
  <si>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</si>
  <si>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</si>
  <si>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</si>
  <si>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</si>
  <si>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</si>
  <si>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</si>
  <si>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</si>
  <si>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</si>
  <si>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</si>
  <si>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</si>
  <si>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</si>
  <si>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</si>
  <si>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</si>
  <si>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</si>
  <si>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</si>
  <si>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</si>
  <si>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</si>
  <si>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</si>
  <si>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</si>
  <si>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</si>
  <si>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</si>
  <si>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</si>
  <si>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</si>
  <si>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</si>
  <si>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</si>
  <si>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</si>
  <si>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</si>
  <si>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</si>
  <si>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</si>
  <si>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</si>
  <si>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</si>
  <si>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</si>
  <si>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</si>
  <si>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</si>
  <si>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</si>
  <si>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</si>
  <si>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</si>
  <si>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</si>
  <si>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</si>
  <si>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</si>
  <si>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</si>
  <si>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</si>
  <si>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</si>
  <si>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</si>
  <si>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</si>
  <si>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</si>
  <si>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</si>
  <si>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</si>
  <si>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</si>
  <si>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</si>
  <si>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</si>
  <si>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</si>
  <si>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</si>
  <si>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</si>
  <si>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</si>
  <si>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</si>
  <si>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</si>
  <si>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</si>
  <si>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</si>
  <si>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</si>
  <si>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</si>
  <si>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</si>
  <si>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</si>
  <si>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</si>
  <si>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</si>
  <si>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</si>
  <si>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</si>
  <si>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</si>
  <si>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</si>
  <si>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</si>
  <si>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</si>
  <si>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</si>
  <si>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</si>
  <si>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</si>
  <si>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</si>
  <si>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</si>
  <si>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</si>
  <si>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</si>
  <si>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</si>
  <si>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</si>
  <si>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</si>
  <si>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</si>
  <si>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</si>
  <si>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</si>
  <si>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</si>
  <si>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</si>
  <si>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</si>
  <si>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</si>
  <si>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</si>
  <si>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</si>
  <si>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</si>
  <si>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</si>
  <si>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</si>
  <si>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</si>
  <si>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</si>
  <si>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</si>
  <si>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</si>
  <si>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</si>
  <si>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</si>
  <si>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</si>
  <si>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</si>
  <si>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</si>
  <si>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</si>
  <si>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</si>
  <si>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</si>
  <si>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</si>
  <si>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</si>
  <si>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</si>
  <si>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</si>
  <si>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</si>
  <si>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</si>
  <si>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</si>
  <si>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</si>
  <si>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</si>
  <si>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</si>
  <si>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</si>
  <si>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</si>
  <si>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</si>
  <si>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</si>
  <si>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</si>
  <si>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</si>
  <si>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</si>
  <si>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</si>
  <si>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</si>
  <si>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</si>
  <si>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</si>
  <si>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</si>
  <si>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</si>
  <si>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</si>
  <si>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</si>
  <si>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</si>
  <si>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</si>
  <si>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</si>
  <si>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</si>
  <si>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</si>
  <si>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</si>
  <si>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</si>
  <si>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</si>
  <si>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</si>
  <si>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</si>
  <si>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</si>
  <si>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</si>
  <si>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</si>
  <si>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</si>
  <si>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</si>
  <si>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</si>
  <si>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</si>
  <si>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</si>
  <si>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</si>
  <si>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</si>
  <si>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</si>
  <si>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</si>
  <si>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</si>
  <si>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</si>
  <si>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</si>
  <si>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</si>
  <si>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</si>
  <si>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</si>
  <si>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</si>
  <si>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</si>
  <si>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</si>
  <si>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</si>
  <si>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</si>
  <si>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</si>
  <si>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</si>
  <si>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</si>
  <si>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</si>
  <si>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</si>
  <si>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</si>
  <si>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</si>
  <si>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</si>
  <si>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</si>
  <si>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</si>
  <si>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</si>
  <si>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</si>
  <si>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</si>
  <si>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</si>
  <si>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</si>
  <si>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</si>
  <si>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</si>
  <si>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</si>
  <si>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</si>
  <si>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</si>
  <si>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</si>
  <si>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</si>
  <si>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</si>
  <si>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</si>
  <si>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</si>
  <si>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</si>
  <si>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</si>
  <si>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</si>
  <si>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</si>
  <si>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</si>
  <si>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</si>
  <si>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</si>
  <si>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</si>
  <si>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</si>
  <si>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</si>
  <si>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</si>
  <si>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</si>
  <si>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</si>
  <si>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</si>
  <si>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</si>
  <si>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</si>
  <si>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</si>
  <si>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</si>
  <si>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</si>
  <si>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</si>
  <si>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</si>
  <si>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</si>
  <si>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</si>
  <si>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</si>
  <si>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</si>
  <si>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</si>
  <si>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</si>
  <si>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</si>
  <si>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</si>
  <si>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</si>
  <si>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</si>
  <si>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</si>
  <si>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</si>
  <si>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</si>
  <si>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</si>
  <si>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</si>
  <si>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</si>
  <si>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</si>
  <si>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</si>
  <si>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</si>
  <si>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</si>
  <si>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</si>
  <si>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</si>
  <si>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</si>
  <si>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</si>
  <si>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</si>
  <si>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</si>
  <si>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</si>
  <si>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</si>
  <si>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</si>
  <si>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</si>
  <si>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</si>
  <si>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</si>
  <si>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</si>
  <si>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</si>
  <si>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</si>
  <si>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</si>
  <si>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</si>
  <si>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</si>
  <si>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</si>
  <si>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</si>
  <si>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</si>
  <si>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</si>
  <si>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</si>
  <si>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</si>
  <si>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</si>
  <si>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</si>
  <si>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</si>
  <si>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</si>
  <si>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</si>
  <si>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</si>
  <si>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</si>
  <si>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</si>
  <si>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</si>
  <si>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</si>
  <si>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</si>
  <si>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</si>
  <si>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</si>
  <si>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</si>
  <si>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</si>
  <si>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</si>
  <si>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</si>
  <si>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</si>
  <si>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</si>
  <si>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</si>
  <si>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</si>
  <si>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</si>
  <si>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</si>
  <si>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</si>
  <si>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</si>
  <si>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</si>
  <si>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</si>
  <si>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</si>
  <si>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</si>
  <si>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</si>
  <si>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</si>
  <si>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</si>
  <si>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</si>
  <si>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</si>
  <si>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</si>
  <si>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</si>
  <si>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</si>
  <si>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</si>
  <si>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</si>
  <si>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</si>
  <si>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</si>
  <si>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</si>
  <si>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</si>
  <si>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</si>
  <si>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</si>
  <si>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</si>
  <si>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</si>
  <si>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</si>
  <si>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</si>
  <si>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</si>
  <si>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</si>
  <si>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</si>
  <si>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</si>
  <si>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</si>
  <si>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</si>
  <si>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</si>
  <si>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</si>
  <si>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</si>
  <si>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</si>
  <si>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</si>
  <si>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</si>
  <si>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</si>
  <si>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</si>
  <si>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</si>
  <si>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</si>
  <si>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</si>
  <si>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</si>
  <si>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</si>
  <si>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</si>
  <si>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</si>
  <si>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</si>
  <si>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</si>
  <si>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</si>
  <si>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</si>
  <si>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</si>
  <si>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</si>
  <si>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</si>
  <si>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</si>
  <si>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</si>
  <si>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</si>
  <si>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</si>
  <si>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</si>
  <si>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</si>
  <si>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</si>
  <si>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</si>
  <si>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</si>
  <si>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</si>
  <si>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</si>
  <si>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</si>
  <si>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</si>
  <si>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</si>
  <si>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</si>
  <si>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</si>
  <si>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</si>
  <si>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</si>
  <si>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</si>
  <si>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</si>
  <si>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</si>
  <si>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</si>
  <si>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</si>
  <si>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</si>
  <si>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</si>
  <si>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</si>
  <si>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</si>
  <si>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</si>
  <si>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</si>
  <si>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</si>
  <si>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</si>
  <si>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</si>
  <si>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</si>
  <si>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</si>
  <si>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</si>
  <si>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</si>
  <si>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</si>
  <si>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</si>
  <si>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</si>
  <si>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</si>
  <si>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</si>
  <si>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</si>
  <si>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</si>
  <si>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</si>
  <si>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</si>
  <si>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</si>
  <si>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</si>
  <si>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</si>
  <si>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</si>
  <si>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</si>
  <si>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</si>
  <si>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</si>
  <si>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</si>
  <si>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</si>
  <si>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</si>
  <si>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</si>
  <si>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</si>
  <si>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</si>
  <si>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</si>
  <si>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</si>
  <si>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</si>
  <si>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</si>
  <si>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</si>
  <si>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</si>
  <si>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</si>
  <si>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</si>
  <si>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</si>
  <si>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</si>
  <si>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</si>
  <si>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</si>
  <si>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</si>
  <si>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</si>
  <si>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</si>
  <si>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</si>
  <si>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</si>
  <si>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</si>
  <si>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</si>
  <si>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</si>
  <si>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</si>
  <si>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</si>
  <si>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</si>
  <si>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</si>
  <si>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</si>
  <si>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</si>
  <si>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</si>
  <si>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</si>
  <si>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</si>
  <si>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</si>
  <si>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</si>
  <si>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</si>
  <si>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</si>
  <si>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</si>
  <si>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</si>
  <si>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</si>
  <si>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</si>
  <si>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</si>
  <si>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</si>
  <si>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</si>
  <si>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</si>
  <si>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</si>
  <si>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</si>
  <si>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</si>
  <si>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</si>
  <si>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</si>
  <si>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</si>
  <si>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</si>
  <si>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</si>
  <si>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</si>
  <si>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</si>
  <si>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</si>
  <si>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</si>
  <si>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</si>
  <si>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</si>
  <si>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</si>
  <si>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</si>
  <si>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</si>
  <si>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</si>
  <si>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</si>
  <si>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</si>
  <si>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</si>
  <si>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</si>
  <si>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</si>
  <si>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</si>
  <si>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</si>
  <si>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</si>
  <si>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</si>
  <si>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</si>
  <si>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</si>
  <si>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</si>
  <si>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</si>
  <si>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</si>
  <si>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</si>
  <si>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</si>
  <si>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</si>
  <si>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</si>
  <si>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</si>
  <si>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</si>
  <si>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</si>
  <si>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</si>
  <si>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</si>
  <si>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</si>
  <si>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</si>
  <si>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</si>
  <si>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</si>
  <si>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</si>
  <si>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</si>
  <si>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</si>
  <si>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</si>
  <si>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</si>
  <si>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</si>
  <si>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</si>
  <si>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</si>
  <si>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</si>
  <si>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</si>
  <si>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</si>
  <si>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</si>
  <si>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</si>
  <si>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</si>
  <si>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</si>
  <si>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</si>
  <si>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</si>
  <si>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</si>
  <si>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</si>
  <si>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</si>
  <si>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</si>
  <si>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</si>
  <si>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</si>
  <si>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</si>
  <si>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</si>
  <si>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</si>
  <si>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</si>
  <si>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</si>
  <si>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</si>
  <si>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</si>
  <si>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</si>
  <si>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</si>
  <si>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</si>
  <si>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</si>
  <si>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</si>
  <si>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</si>
  <si>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</si>
  <si>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</si>
  <si>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</si>
  <si>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</si>
  <si>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</si>
  <si>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</si>
  <si>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</si>
  <si>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</si>
  <si>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</si>
  <si>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</si>
  <si>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</si>
  <si>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</si>
  <si>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</si>
  <si>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</si>
  <si>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</si>
  <si>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</si>
  <si>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</si>
  <si>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</si>
  <si>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</si>
  <si>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</si>
  <si>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</si>
  <si>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</si>
  <si>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</si>
  <si>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</si>
  <si>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</si>
  <si>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</si>
  <si>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</si>
  <si>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</si>
  <si>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</si>
  <si>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</si>
  <si>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</si>
  <si>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</si>
  <si>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</si>
  <si>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</si>
  <si>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</si>
  <si>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</si>
  <si>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</si>
  <si>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</si>
  <si>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</si>
  <si>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</si>
  <si>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</si>
  <si>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</si>
  <si>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</si>
  <si>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</si>
  <si>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</si>
  <si>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</si>
  <si>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</si>
  <si>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</si>
  <si>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</si>
  <si>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</si>
  <si>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</si>
  <si>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</si>
  <si>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</si>
  <si>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</si>
  <si>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</si>
  <si>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</si>
  <si>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</si>
  <si>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</si>
  <si>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</si>
  <si>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</si>
  <si>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</si>
  <si>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</si>
  <si>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</si>
  <si>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</si>
  <si>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</si>
  <si>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</si>
  <si>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</si>
  <si>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</si>
  <si>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</si>
  <si>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</si>
  <si>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</si>
  <si>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</si>
  <si>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</si>
  <si>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</si>
  <si>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</si>
  <si>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</si>
  <si>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</si>
  <si>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</si>
  <si>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</si>
  <si>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</si>
  <si>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</si>
  <si>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</si>
  <si>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</si>
  <si>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</si>
  <si>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</si>
  <si>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</si>
  <si>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</si>
  <si>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</si>
  <si>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</si>
  <si>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</si>
  <si>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</si>
  <si>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</si>
  <si>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</si>
  <si>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</si>
  <si>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</si>
  <si>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</si>
  <si>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</si>
  <si>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</si>
  <si>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</si>
  <si>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</si>
  <si>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</si>
  <si>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</si>
  <si>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</si>
  <si>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</si>
  <si>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</si>
  <si>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</si>
  <si>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</si>
  <si>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</si>
  <si>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</si>
  <si>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</si>
  <si>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</si>
  <si>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</si>
  <si>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</si>
  <si>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</si>
  <si>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</si>
  <si>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</si>
  <si>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</si>
  <si>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</si>
  <si>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</si>
  <si>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</si>
  <si>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</si>
  <si>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</si>
  <si>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</si>
  <si>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</si>
  <si>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</si>
  <si>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</si>
  <si>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</si>
  <si>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</si>
  <si>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</si>
  <si>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</si>
  <si>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</si>
  <si>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</si>
  <si>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</si>
  <si>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</si>
  <si>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</si>
  <si>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</si>
  <si>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</si>
  <si>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</si>
  <si>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</si>
  <si>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</si>
  <si>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</si>
  <si>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</si>
  <si>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</si>
  <si>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</si>
  <si>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</si>
  <si>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</si>
  <si>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</si>
  <si>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</si>
  <si>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</si>
  <si>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</si>
  <si>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</si>
  <si>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</si>
  <si>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</si>
  <si>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</si>
  <si>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</si>
  <si>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</si>
  <si>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</si>
  <si>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</si>
  <si>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</si>
  <si>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</si>
  <si>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</si>
  <si>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</si>
  <si>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</si>
  <si>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</si>
  <si>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</si>
  <si>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</si>
  <si>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</si>
  <si>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</si>
  <si>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</si>
  <si>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</si>
  <si>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</si>
  <si>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</si>
  <si>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</si>
  <si>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</si>
  <si>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</si>
  <si>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</si>
  <si>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</si>
  <si>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</si>
  <si>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</si>
  <si>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</si>
  <si>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</si>
  <si>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</si>
  <si>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</si>
  <si>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</si>
  <si>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</si>
  <si>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</si>
  <si>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</si>
  <si>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</si>
  <si>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</si>
  <si>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</si>
  <si>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</si>
  <si>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</si>
  <si>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</si>
  <si>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</si>
  <si>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</si>
  <si>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</si>
  <si>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</si>
  <si>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</si>
  <si>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</si>
  <si>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</si>
  <si>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</si>
  <si>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</si>
  <si>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</si>
  <si>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</si>
  <si>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</si>
  <si>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</si>
  <si>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</si>
  <si>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</si>
  <si>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</si>
  <si>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</si>
  <si>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</si>
  <si>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</si>
  <si>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</si>
  <si>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</si>
  <si>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</si>
  <si>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</si>
  <si>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</si>
  <si>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</si>
  <si>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</si>
  <si>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</si>
  <si>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</si>
  <si>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</si>
  <si>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</si>
  <si>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</si>
  <si>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</si>
  <si>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</si>
  <si>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</si>
  <si>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</si>
  <si>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</si>
  <si>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</si>
  <si>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</si>
  <si>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</si>
  <si>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</si>
  <si>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</si>
  <si>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</si>
  <si>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</si>
  <si>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</si>
  <si>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</si>
  <si>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</si>
  <si>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</si>
  <si>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</si>
  <si>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</si>
  <si>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</si>
  <si>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</si>
  <si>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</si>
  <si>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</si>
  <si>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</si>
  <si>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</si>
  <si>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</si>
  <si>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</si>
  <si>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</si>
  <si>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</si>
  <si>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</si>
  <si>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</si>
  <si>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</si>
  <si>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</si>
  <si>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</si>
  <si>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</si>
  <si>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</si>
  <si>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</si>
  <si>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</si>
  <si>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</si>
  <si>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</si>
  <si>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</si>
  <si>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</si>
  <si>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</si>
  <si>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</si>
  <si>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</si>
  <si>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</si>
  <si>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</si>
  <si>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</si>
  <si>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</si>
  <si>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</si>
  <si>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</si>
  <si>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</si>
  <si>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</si>
  <si>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</si>
  <si>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</si>
  <si>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</si>
  <si>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</si>
  <si>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</si>
  <si>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</si>
  <si>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</si>
  <si>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</si>
  <si>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</si>
  <si>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</si>
  <si>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</si>
  <si>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</si>
  <si>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</si>
  <si>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</si>
  <si>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</si>
  <si>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</si>
  <si>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</si>
  <si>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</si>
  <si>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</si>
  <si>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</si>
  <si>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</si>
  <si>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</si>
  <si>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</si>
  <si>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</si>
  <si>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</si>
  <si>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</si>
  <si>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</si>
  <si>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</si>
  <si>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</si>
  <si>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</si>
  <si>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</si>
  <si>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</si>
  <si>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</si>
  <si>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</si>
  <si>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</si>
  <si>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</si>
  <si>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</si>
  <si>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</si>
  <si>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</si>
  <si>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</si>
  <si>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</si>
  <si>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</si>
  <si>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</si>
  <si>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</si>
  <si>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</si>
  <si>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</si>
  <si>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</si>
  <si>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</si>
  <si>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</si>
  <si>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</si>
  <si>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</si>
  <si>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</si>
  <si>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</si>
  <si>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</si>
  <si>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</si>
  <si>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</si>
  <si>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</si>
  <si>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</si>
  <si>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</si>
  <si>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</si>
  <si>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</si>
  <si>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</si>
  <si>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</si>
  <si>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</si>
  <si>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</si>
  <si>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</si>
  <si>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</si>
  <si>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</si>
  <si>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</si>
  <si>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</si>
  <si>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</si>
  <si>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</si>
  <si>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</si>
  <si>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</si>
  <si>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</si>
  <si>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</si>
  <si>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</si>
  <si>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</si>
  <si>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</si>
  <si>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</si>
  <si>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</si>
  <si>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</si>
  <si>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</si>
  <si>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</si>
  <si>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</si>
  <si>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</si>
  <si>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</si>
  <si>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</si>
  <si>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</si>
  <si>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</si>
  <si>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</si>
  <si>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</si>
  <si>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</si>
  <si>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</si>
  <si>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</si>
  <si>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</si>
  <si>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</si>
  <si>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</si>
  <si>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</si>
  <si>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</si>
  <si>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</si>
  <si>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</si>
  <si>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</si>
  <si>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</si>
  <si>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</si>
  <si>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</si>
  <si>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</si>
  <si>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</si>
  <si>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</si>
  <si>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</si>
  <si>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</si>
  <si>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</si>
  <si>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</si>
  <si>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</si>
  <si>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</si>
  <si>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</si>
  <si>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</si>
  <si>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</si>
  <si>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</si>
  <si>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</si>
  <si>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</si>
  <si>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</si>
  <si>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</si>
  <si>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</si>
  <si>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</si>
  <si>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</si>
  <si>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</si>
  <si>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</si>
  <si>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</si>
  <si>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</si>
  <si>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</si>
  <si>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</si>
  <si>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</si>
  <si>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</si>
  <si>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</si>
  <si>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</si>
  <si>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</si>
  <si>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</si>
  <si>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</si>
  <si>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</si>
  <si>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</si>
  <si>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</si>
  <si>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</si>
  <si>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</si>
  <si>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</si>
  <si>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</si>
  <si>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</si>
  <si>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</si>
  <si>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</si>
  <si>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</si>
  <si>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</si>
  <si>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</si>
  <si>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</si>
  <si>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</si>
  <si>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</si>
  <si>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</si>
  <si>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</si>
  <si>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</si>
  <si>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</si>
  <si>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</si>
  <si>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</si>
  <si>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</si>
  <si>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</si>
  <si>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</si>
  <si>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</si>
  <si>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</si>
  <si>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</si>
  <si>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</si>
  <si>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</si>
  <si>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</si>
  <si>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</si>
  <si>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</si>
  <si>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</si>
  <si>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</si>
  <si>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</si>
  <si>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</si>
  <si>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</si>
  <si>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</si>
  <si>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</si>
  <si>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</si>
  <si>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</si>
  <si>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</si>
  <si>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</si>
  <si>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</si>
  <si>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</si>
  <si>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</si>
  <si>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</si>
  <si>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</si>
  <si>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</si>
  <si>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</si>
  <si>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</si>
  <si>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</si>
  <si>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</si>
  <si>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</si>
  <si>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</si>
  <si>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</si>
  <si>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</si>
  <si>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</si>
  <si>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</si>
  <si>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</si>
  <si>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</si>
  <si>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</si>
  <si>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</si>
  <si>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</si>
  <si>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</si>
  <si>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</si>
  <si>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</si>
  <si>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</si>
  <si>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</si>
  <si>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</si>
  <si>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</si>
  <si>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</si>
  <si>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</si>
  <si>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</si>
  <si>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</si>
  <si>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</si>
  <si>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</si>
  <si>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</si>
  <si>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</si>
  <si>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</si>
  <si>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</si>
  <si>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</si>
  <si>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</si>
  <si>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</si>
  <si>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</si>
  <si>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</si>
  <si>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</si>
  <si>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</si>
  <si>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</si>
  <si>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</si>
  <si>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</si>
  <si>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</si>
  <si>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</si>
  <si>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</si>
  <si>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</si>
  <si>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</si>
  <si>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</si>
  <si>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</si>
  <si>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</si>
  <si>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</si>
  <si>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</si>
  <si>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</si>
  <si>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</si>
  <si>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</si>
  <si>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</si>
  <si>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</si>
  <si>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</si>
  <si>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</si>
  <si>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</si>
  <si>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</si>
  <si>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</si>
  <si>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</si>
  <si>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</si>
  <si>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</si>
  <si>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</si>
  <si>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</si>
  <si>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</si>
  <si>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</si>
  <si>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</si>
  <si>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</si>
  <si>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</si>
  <si>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</si>
  <si>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</si>
  <si>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</si>
  <si>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</si>
  <si>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</si>
  <si>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</si>
  <si>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</si>
  <si>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</si>
  <si>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</si>
  <si>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</si>
  <si>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</si>
  <si>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</si>
  <si>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</si>
  <si>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</si>
  <si>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</si>
  <si>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</si>
  <si>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</si>
  <si>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</si>
  <si>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</si>
  <si>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</si>
  <si>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</si>
  <si>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</si>
  <si>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</si>
  <si>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</si>
  <si>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</si>
  <si>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</si>
  <si>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</si>
  <si>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</si>
  <si>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</si>
  <si>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</si>
  <si>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</si>
  <si>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</si>
  <si>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</si>
  <si>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</si>
  <si>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</si>
  <si>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</si>
  <si>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</si>
  <si>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</si>
  <si>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</si>
  <si>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</si>
  <si>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</si>
  <si>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</si>
  <si>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</si>
  <si>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</si>
  <si>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</si>
  <si>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</si>
  <si>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</si>
  <si>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</si>
  <si>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</si>
  <si>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</si>
  <si>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</si>
  <si>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</si>
  <si>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</si>
  <si>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</si>
  <si>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</si>
  <si>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</si>
  <si>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</si>
  <si>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</si>
  <si>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</si>
  <si>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</si>
  <si>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</si>
  <si>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</si>
  <si>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</si>
  <si>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</si>
  <si>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</si>
  <si>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</si>
  <si>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</si>
  <si>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</si>
  <si>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</si>
  <si>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</si>
  <si>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</si>
  <si>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</si>
  <si>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</si>
  <si>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</si>
  <si>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</si>
  <si>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</si>
  <si>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</si>
  <si>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</si>
  <si>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</si>
  <si>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</si>
  <si>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</si>
  <si>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</si>
  <si>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</si>
  <si>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</si>
  <si>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</si>
  <si>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</si>
  <si>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</si>
  <si>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</si>
  <si>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</si>
  <si>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</si>
  <si>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</si>
  <si>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</si>
  <si>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</si>
  <si>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</si>
  <si>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</si>
  <si>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</si>
  <si>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</si>
  <si>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</si>
  <si>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</si>
  <si>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</si>
  <si>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</si>
  <si>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</si>
  <si>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</si>
  <si>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</si>
  <si>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</si>
  <si>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</si>
  <si>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</si>
  <si>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</si>
  <si>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</si>
  <si>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</si>
  <si>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</si>
  <si>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</si>
  <si>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</si>
  <si>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</si>
  <si>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</si>
  <si>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</si>
  <si>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</si>
  <si>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</si>
  <si>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</si>
  <si>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</si>
  <si>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</si>
  <si>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</si>
  <si>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</si>
  <si>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</si>
  <si>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</si>
  <si>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</si>
  <si>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</si>
  <si>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</si>
  <si>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</si>
  <si>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</si>
  <si>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</si>
  <si>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</si>
  <si>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</si>
  <si>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</si>
  <si>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</si>
  <si>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</si>
  <si>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</si>
  <si>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</si>
  <si>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</si>
  <si>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</si>
  <si>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</si>
  <si>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</si>
  <si>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</si>
  <si>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</si>
  <si>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</si>
  <si>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</si>
  <si>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</si>
  <si>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</si>
  <si>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</si>
  <si>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</si>
  <si>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</si>
  <si>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</si>
  <si>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</si>
  <si>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</si>
  <si>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</si>
  <si>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</si>
  <si>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</si>
  <si>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</si>
  <si>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</si>
  <si>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</si>
  <si>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</si>
  <si>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</si>
  <si>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</si>
  <si>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</si>
  <si>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</si>
  <si>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</si>
  <si>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</si>
  <si>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</si>
  <si>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</si>
  <si>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</si>
  <si>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</si>
  <si>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</si>
  <si>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</si>
  <si>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</si>
  <si>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</si>
  <si>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</si>
  <si>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</si>
  <si>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</si>
  <si>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</si>
  <si>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</si>
  <si>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</si>
  <si>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</si>
  <si>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</si>
  <si>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</si>
  <si>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</si>
  <si>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</si>
  <si>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</si>
  <si>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</si>
  <si>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</si>
  <si>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</si>
  <si>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</si>
  <si>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</si>
  <si>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</si>
  <si>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</si>
  <si>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</si>
  <si>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</si>
  <si>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</si>
  <si>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</si>
  <si>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</si>
  <si>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</si>
  <si>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</si>
  <si>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</si>
  <si>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</si>
  <si>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</si>
  <si>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</si>
  <si>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</si>
  <si>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</si>
  <si>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</si>
  <si>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</si>
  <si>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</si>
  <si>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</si>
  <si>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</si>
  <si>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</si>
  <si>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</si>
  <si>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</si>
  <si>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</si>
  <si>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</si>
  <si>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</si>
  <si>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</si>
  <si>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</si>
  <si>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</si>
  <si>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</si>
  <si>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</si>
  <si>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</si>
  <si>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</si>
  <si>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</si>
  <si>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</si>
  <si>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</si>
  <si>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</si>
  <si>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</si>
  <si>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</si>
  <si>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</si>
  <si>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</si>
  <si>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</si>
  <si>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</si>
  <si>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</si>
  <si>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</si>
  <si>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</si>
  <si>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</si>
  <si>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</si>
  <si>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</si>
  <si>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</si>
  <si>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</si>
  <si>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</si>
  <si>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</si>
  <si>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</si>
  <si>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</si>
  <si>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</si>
  <si>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</si>
  <si>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</si>
  <si>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</si>
  <si>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</si>
  <si>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</si>
  <si>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</si>
  <si>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</si>
  <si>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</si>
  <si>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</si>
  <si>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</si>
  <si>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</si>
  <si>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</si>
  <si>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</si>
  <si>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</si>
  <si>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</si>
  <si>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</si>
  <si>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</si>
  <si>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</si>
  <si>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</si>
  <si>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</si>
  <si>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</si>
  <si>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</si>
  <si>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</si>
  <si>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</si>
  <si>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</si>
  <si>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</si>
  <si>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</si>
  <si>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</si>
  <si>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</si>
  <si>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</si>
  <si>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</si>
  <si>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</si>
  <si>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</si>
  <si>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</si>
  <si>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</si>
  <si>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</si>
  <si>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</si>
  <si>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</si>
  <si>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</si>
  <si>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</si>
  <si>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</si>
  <si>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</si>
  <si>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</si>
  <si>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</si>
  <si>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</si>
  <si>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</si>
  <si>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</si>
  <si>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</si>
  <si>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</si>
  <si>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</si>
  <si>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</si>
  <si>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</si>
  <si>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</si>
  <si>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</si>
  <si>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</si>
  <si>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</si>
  <si>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</si>
  <si>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</si>
  <si>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</si>
  <si>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</si>
  <si>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</si>
  <si>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</si>
  <si>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</si>
  <si>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</si>
  <si>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</si>
  <si>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</si>
  <si>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</si>
  <si>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</si>
  <si>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</si>
  <si>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</si>
  <si>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</si>
  <si>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</si>
  <si>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</si>
  <si>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</si>
  <si>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</si>
  <si>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</si>
  <si>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</si>
  <si>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</si>
  <si>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</si>
  <si>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</si>
  <si>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</si>
  <si>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</si>
  <si>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</si>
  <si>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</si>
  <si>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</si>
  <si>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</si>
  <si>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</si>
  <si>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</si>
  <si>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</si>
  <si>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</si>
  <si>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</si>
  <si>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</si>
  <si>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</si>
  <si>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</si>
  <si>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</si>
  <si>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</si>
  <si>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</si>
  <si>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</si>
  <si>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</si>
  <si>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</si>
  <si>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</si>
  <si>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</si>
  <si>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</si>
  <si>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</si>
  <si>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</si>
  <si>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</si>
  <si>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</si>
  <si>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</si>
  <si>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</si>
  <si>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</si>
  <si>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</si>
  <si>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</si>
  <si>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</si>
  <si>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</si>
  <si>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</si>
  <si>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</si>
  <si>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</si>
  <si>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</si>
  <si>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</si>
  <si>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</si>
  <si>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</si>
  <si>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</si>
  <si>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</si>
  <si>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</si>
  <si>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</si>
  <si>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</si>
  <si>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</si>
  <si>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</si>
  <si>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</si>
  <si>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</si>
  <si>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</si>
  <si>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</si>
  <si>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</si>
  <si>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</si>
  <si>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</si>
  <si>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</si>
  <si>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</si>
  <si>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</si>
  <si>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</si>
  <si>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</si>
  <si>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</si>
  <si>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</si>
  <si>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</si>
  <si>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</si>
  <si>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</si>
  <si>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</si>
  <si>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</si>
  <si>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</si>
  <si>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</si>
  <si>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</si>
  <si>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</si>
  <si>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</si>
  <si>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</si>
  <si>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</si>
  <si>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</si>
  <si>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</si>
  <si>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</si>
  <si>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</si>
  <si>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</si>
  <si>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</si>
  <si>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</si>
  <si>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</si>
  <si>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</si>
  <si>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</si>
  <si>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</si>
  <si>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</si>
  <si>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</si>
  <si>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</si>
  <si>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</si>
  <si>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</si>
  <si>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</si>
  <si>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</si>
  <si>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</si>
  <si>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</si>
  <si>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</si>
  <si>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</si>
  <si>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</si>
  <si>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</si>
  <si>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</si>
  <si>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</si>
  <si>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</si>
  <si>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</si>
  <si>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</si>
  <si>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</si>
  <si>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</si>
  <si>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</si>
  <si>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</si>
  <si>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</si>
  <si>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</si>
  <si>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</si>
  <si>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</si>
  <si>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</si>
  <si>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</si>
  <si>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</si>
  <si>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</si>
  <si>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</si>
  <si>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</si>
  <si>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</si>
  <si>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</si>
  <si>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</si>
  <si>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</si>
  <si>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</si>
  <si>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</si>
  <si>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</si>
  <si>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</si>
  <si>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</si>
  <si>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</si>
  <si>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</si>
  <si>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</si>
  <si>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</si>
  <si>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</si>
  <si>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</si>
  <si>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</si>
  <si>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</si>
  <si>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</si>
  <si>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</si>
  <si>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</si>
  <si>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</si>
  <si>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</si>
  <si>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</si>
  <si>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</si>
  <si>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</si>
  <si>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</si>
  <si>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</si>
  <si>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</si>
  <si>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</si>
  <si>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</si>
  <si>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</si>
  <si>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</si>
  <si>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</si>
  <si>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</si>
  <si>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</si>
  <si>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</si>
  <si>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</si>
  <si>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</si>
  <si>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</si>
  <si>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</si>
  <si>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</si>
  <si>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</si>
  <si>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</si>
  <si>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</si>
  <si>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</si>
  <si>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</si>
  <si>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</si>
  <si>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</si>
  <si>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</si>
  <si>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</si>
  <si>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</si>
  <si>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</si>
  <si>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</si>
  <si>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</si>
  <si>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</si>
  <si>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</si>
  <si>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</si>
  <si>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</si>
  <si>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</si>
  <si>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</si>
  <si>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</si>
  <si>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</si>
  <si>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</si>
  <si>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</si>
  <si>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</si>
  <si>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</si>
  <si>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</si>
  <si>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</si>
  <si>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</si>
  <si>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</si>
  <si>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</si>
  <si>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</si>
  <si>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</si>
  <si>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</si>
  <si>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</si>
  <si>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</si>
  <si>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</si>
  <si>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</si>
  <si>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</si>
  <si>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</si>
  <si>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</si>
  <si>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</si>
  <si>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</si>
  <si>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</si>
  <si>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</si>
  <si>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</si>
  <si>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</si>
  <si>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</si>
  <si>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</si>
  <si>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</si>
  <si>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</si>
  <si>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</si>
  <si>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</si>
  <si>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</si>
  <si>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</si>
  <si>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</si>
  <si>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</si>
  <si>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</si>
  <si>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</si>
  <si>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</si>
  <si>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</si>
  <si>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</si>
  <si>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</si>
  <si>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</si>
  <si>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</si>
  <si>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</si>
  <si>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</si>
  <si>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</si>
  <si>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</si>
  <si>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</si>
  <si>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</si>
  <si>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</si>
  <si>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</si>
  <si>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</si>
  <si>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</si>
  <si>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</si>
  <si>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</si>
  <si>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</si>
  <si>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</si>
  <si>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</si>
  <si>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</si>
  <si>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</si>
  <si>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</si>
  <si>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</si>
  <si>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</si>
  <si>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</si>
  <si>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</si>
  <si>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</si>
  <si>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</si>
  <si>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</si>
  <si>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</si>
  <si>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</si>
  <si>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</si>
  <si>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</si>
  <si>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</si>
  <si>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</si>
  <si>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</si>
  <si>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</si>
  <si>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</si>
  <si>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</si>
  <si>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</si>
  <si>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</si>
  <si>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</si>
  <si>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</si>
  <si>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</si>
  <si>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</si>
  <si>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</si>
  <si>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</si>
  <si>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</si>
  <si>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</si>
  <si>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</si>
  <si>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</si>
  <si>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</si>
  <si>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</si>
  <si>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</si>
  <si>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</si>
  <si>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</si>
  <si>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</si>
  <si>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</si>
  <si>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</si>
  <si>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</si>
  <si>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</si>
  <si>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</si>
  <si>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</si>
  <si>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</si>
  <si>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</si>
  <si>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</si>
  <si>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</si>
  <si>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</si>
  <si>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</si>
  <si>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</si>
  <si>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</si>
  <si>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</si>
  <si>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</si>
  <si>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</si>
  <si>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</si>
  <si>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</si>
  <si>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</si>
  <si>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</si>
  <si>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</si>
  <si>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</si>
  <si>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</si>
  <si>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</si>
  <si>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</si>
  <si>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</si>
  <si>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</si>
  <si>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</si>
  <si>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</si>
  <si>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</si>
  <si>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</si>
  <si>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</si>
  <si>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</si>
  <si>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</si>
  <si>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</si>
  <si>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</si>
  <si>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</si>
  <si>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</si>
  <si>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</si>
  <si>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</si>
  <si>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</si>
  <si>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</si>
  <si>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</si>
  <si>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</si>
  <si>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</si>
  <si>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</si>
  <si>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</si>
  <si>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</si>
  <si>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</si>
  <si>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</si>
  <si>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</si>
  <si>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</si>
  <si>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</si>
  <si>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</si>
  <si>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</si>
  <si>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</si>
  <si>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</si>
  <si>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</si>
  <si>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</si>
  <si>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</si>
  <si>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</si>
  <si>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</si>
  <si>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</si>
  <si>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</si>
  <si>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</si>
  <si>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</si>
  <si>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</si>
  <si>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</si>
  <si>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</si>
  <si>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</si>
  <si>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</si>
  <si>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</si>
  <si>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</si>
  <si>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</si>
  <si>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</si>
  <si>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</si>
  <si>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</si>
  <si>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</si>
  <si>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</si>
  <si>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</si>
  <si>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</si>
  <si>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</si>
  <si>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</si>
  <si>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</si>
  <si>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</si>
  <si>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</si>
  <si>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</si>
  <si>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</si>
  <si>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</si>
  <si>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</si>
  <si>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</si>
  <si>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</si>
  <si>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</si>
  <si>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</si>
  <si>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</si>
  <si>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</si>
  <si>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</si>
  <si>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</si>
  <si>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</si>
  <si>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</si>
  <si>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</si>
  <si>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</si>
  <si>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</si>
  <si>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</si>
  <si>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</si>
  <si>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</si>
  <si>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</si>
  <si>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</si>
  <si>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</si>
  <si>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</si>
  <si>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</si>
  <si>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</si>
  <si>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</si>
  <si>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</si>
  <si>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</si>
  <si>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</si>
  <si>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</si>
  <si>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</si>
  <si>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</si>
  <si>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</si>
  <si>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</si>
  <si>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</si>
  <si>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</si>
  <si>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</si>
  <si>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</si>
  <si>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</si>
  <si>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</si>
  <si>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</si>
  <si>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</si>
  <si>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</si>
  <si>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</si>
  <si>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</si>
  <si>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</si>
  <si>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</si>
  <si>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</si>
  <si>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</si>
  <si>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</si>
  <si>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</si>
  <si>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</si>
  <si>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</si>
  <si>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</si>
  <si>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</si>
  <si>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</si>
  <si>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</si>
  <si>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</si>
  <si>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</si>
  <si>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</si>
  <si>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</si>
  <si>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</si>
  <si>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</si>
  <si>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</si>
  <si>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</si>
  <si>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</si>
  <si>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</si>
  <si>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</si>
  <si>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</si>
  <si>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</si>
  <si>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</si>
  <si>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</si>
  <si>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</si>
  <si>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</si>
  <si>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</si>
  <si>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</si>
  <si>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</si>
  <si>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</si>
  <si>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</si>
  <si>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</si>
  <si>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</si>
  <si>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</si>
  <si>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</si>
  <si>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</si>
  <si>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</si>
  <si>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</si>
  <si>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</si>
  <si>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</si>
  <si>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</si>
  <si>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</si>
  <si>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</si>
  <si>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</si>
  <si>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</si>
  <si>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</si>
  <si>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</si>
  <si>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</si>
  <si>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</si>
  <si>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</si>
  <si>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</si>
  <si>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</si>
  <si>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</si>
  <si>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</si>
  <si>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</si>
  <si>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</si>
  <si>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</si>
  <si>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</si>
  <si>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</si>
  <si>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</si>
  <si>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</si>
  <si>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</si>
  <si>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</si>
  <si>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</si>
  <si>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</si>
  <si>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</si>
  <si>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</si>
  <si>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</si>
  <si>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</si>
  <si>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</si>
  <si>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</si>
  <si>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</si>
  <si>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</si>
  <si>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</si>
  <si>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</si>
  <si>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</si>
  <si>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</si>
  <si>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</si>
  <si>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</si>
  <si>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</si>
  <si>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</si>
  <si>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</si>
  <si>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</si>
  <si>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</si>
  <si>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</si>
  <si>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</si>
  <si>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</si>
  <si>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</si>
  <si>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</si>
  <si>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</si>
  <si>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</si>
  <si>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</si>
  <si>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</si>
  <si>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</si>
  <si>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</si>
  <si>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</si>
  <si>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</si>
  <si>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</si>
  <si>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</si>
  <si>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</si>
  <si>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</si>
  <si>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</si>
  <si>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</si>
  <si>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</si>
  <si>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</si>
  <si>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</si>
  <si>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</si>
  <si>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</si>
  <si>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</si>
  <si>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</si>
  <si>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</si>
  <si>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</si>
  <si>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</si>
  <si>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</si>
  <si>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</si>
  <si>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</si>
  <si>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</si>
  <si>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</si>
  <si>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</si>
  <si>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</si>
  <si>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</si>
  <si>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</si>
  <si>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</si>
  <si>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</si>
  <si>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</si>
  <si>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</si>
  <si>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</si>
  <si>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</si>
  <si>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</si>
  <si>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</si>
  <si>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</si>
  <si>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</si>
  <si>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</si>
  <si>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</si>
  <si>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</si>
  <si>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</si>
  <si>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</si>
  <si>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</si>
  <si>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</si>
  <si>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</si>
  <si>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</si>
  <si>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</si>
  <si>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</si>
  <si>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</si>
  <si>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</si>
  <si>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</si>
  <si>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</si>
  <si>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</si>
  <si>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</si>
  <si>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</si>
  <si>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</si>
  <si>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</si>
  <si>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</si>
  <si>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</si>
  <si>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</si>
  <si>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</si>
  <si>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</si>
  <si>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</si>
  <si>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</si>
  <si>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</si>
  <si>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</si>
  <si>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</si>
  <si>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</si>
  <si>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</si>
  <si>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</si>
  <si>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</si>
  <si>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</si>
  <si>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</si>
  <si>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</si>
  <si>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</si>
  <si>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</si>
  <si>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</si>
  <si>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</si>
  <si>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</si>
  <si>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</si>
  <si>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</si>
  <si>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</si>
  <si>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</si>
  <si>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</si>
  <si>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</si>
  <si>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</si>
  <si>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</si>
  <si>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</si>
  <si>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</si>
  <si>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</si>
  <si>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</si>
  <si>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</si>
  <si>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</si>
  <si>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</si>
  <si>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</si>
  <si>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</si>
  <si>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</si>
  <si>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</si>
  <si>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</si>
  <si>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</si>
  <si>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</si>
  <si>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</si>
  <si>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</si>
  <si>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</si>
  <si>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</si>
  <si>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</si>
  <si>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</si>
  <si>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</si>
  <si>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</si>
  <si>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</si>
  <si>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</si>
  <si>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</si>
  <si>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</si>
  <si>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</si>
  <si>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</si>
  <si>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</si>
  <si>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</si>
  <si>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</si>
  <si>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</si>
  <si>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</si>
  <si>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</si>
  <si>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</si>
  <si>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</si>
  <si>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</si>
  <si>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</si>
  <si>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</si>
  <si>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</si>
  <si>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</si>
  <si>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</si>
  <si>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</si>
  <si>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</si>
  <si>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</si>
  <si>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</si>
  <si>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</si>
  <si>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</si>
  <si>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</si>
  <si>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</si>
  <si>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</si>
  <si>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</si>
  <si>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</si>
  <si>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</si>
  <si>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</si>
  <si>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</si>
  <si>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</si>
  <si>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</si>
  <si>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</si>
  <si>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</si>
  <si>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</si>
  <si>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</si>
  <si>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</si>
  <si>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</si>
  <si>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</si>
  <si>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</si>
  <si>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</si>
  <si>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</si>
  <si>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</si>
  <si>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</si>
  <si>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</si>
  <si>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</si>
  <si>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</si>
  <si>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</si>
  <si>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</si>
  <si>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</si>
  <si>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</si>
  <si>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</si>
  <si>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</si>
  <si>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</si>
  <si>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</si>
  <si>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</si>
  <si>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</si>
  <si>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</si>
  <si>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</si>
  <si>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</si>
  <si>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</si>
  <si>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</si>
  <si>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</si>
  <si>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</si>
  <si>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</si>
  <si>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</si>
  <si>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</si>
  <si>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</si>
  <si>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</si>
  <si>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</si>
  <si>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</si>
  <si>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</si>
  <si>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</si>
  <si>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</si>
  <si>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</si>
  <si>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</si>
  <si>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</si>
  <si>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</si>
  <si>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</si>
  <si>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</si>
  <si>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</si>
  <si>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</si>
  <si>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</si>
  <si>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</si>
  <si>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</si>
  <si>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</si>
  <si>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</si>
  <si>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</si>
  <si>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</si>
  <si>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</si>
  <si>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</si>
  <si>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</si>
  <si>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</si>
  <si>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</si>
  <si>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</si>
  <si>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</si>
  <si>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</si>
  <si>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</si>
  <si>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</si>
  <si>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</si>
  <si>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</si>
  <si>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</si>
  <si>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</si>
  <si>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</si>
  <si>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</si>
  <si>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</si>
  <si>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</si>
  <si>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</si>
  <si>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</si>
  <si>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</si>
  <si>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</si>
  <si>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</si>
  <si>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</si>
  <si>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</si>
  <si>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</si>
  <si>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</si>
  <si>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</si>
  <si>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</si>
  <si>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</si>
  <si>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</si>
  <si>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</si>
  <si>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</si>
  <si>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</si>
  <si>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</si>
  <si>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</si>
  <si>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</si>
  <si>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</si>
  <si>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</si>
  <si>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</si>
  <si>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</si>
  <si>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</si>
  <si>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</si>
  <si>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</si>
  <si>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</si>
  <si>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</si>
  <si>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</si>
  <si>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</si>
  <si>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</si>
  <si>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</si>
  <si>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</si>
  <si>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</si>
  <si>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</si>
  <si>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</si>
  <si>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</si>
  <si>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</si>
  <si>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</si>
  <si>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</si>
  <si>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</si>
  <si>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</si>
  <si>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</si>
  <si>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</si>
  <si>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</si>
  <si>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</si>
  <si>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</si>
  <si>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</si>
  <si>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</si>
  <si>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</si>
  <si>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</si>
  <si>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</si>
  <si>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</si>
  <si>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</si>
  <si>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</si>
  <si>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</si>
  <si>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</si>
  <si>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</si>
  <si>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</si>
  <si>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</si>
  <si>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</si>
  <si>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</si>
  <si>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</si>
  <si>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</si>
  <si>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</si>
  <si>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</si>
  <si>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</si>
  <si>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</si>
  <si>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</si>
  <si>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</si>
  <si>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</si>
  <si>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</si>
  <si>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</si>
  <si>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</si>
  <si>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</si>
  <si>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</si>
  <si>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</si>
  <si>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</si>
  <si>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</si>
  <si>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</si>
  <si>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</si>
  <si>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</si>
  <si>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</si>
  <si>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</si>
  <si>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</si>
  <si>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</si>
  <si>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</si>
  <si>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</si>
  <si>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</si>
  <si>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</si>
  <si>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</si>
  <si>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</si>
  <si>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</si>
  <si>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</si>
  <si>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</si>
  <si>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</si>
  <si>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</si>
  <si>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</si>
  <si>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</si>
  <si>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</si>
  <si>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</si>
  <si>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</si>
  <si>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</si>
  <si>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</si>
  <si>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</si>
  <si>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</si>
  <si>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</si>
  <si>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</si>
  <si>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</si>
  <si>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</si>
  <si>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</si>
  <si>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</si>
  <si>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</si>
  <si>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</si>
  <si>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</si>
  <si>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</si>
  <si>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</si>
  <si>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</si>
  <si>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</si>
  <si>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</si>
  <si>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</si>
  <si>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</si>
  <si>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</si>
  <si>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</si>
  <si>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</si>
  <si>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</si>
  <si>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</si>
  <si>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</si>
  <si>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</si>
  <si>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</si>
  <si>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</si>
  <si>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</si>
  <si>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</si>
  <si>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</si>
  <si>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</si>
  <si>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</si>
  <si>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</si>
  <si>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</si>
  <si>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</si>
  <si>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</si>
  <si>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</si>
  <si>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</si>
  <si>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</si>
  <si>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</si>
  <si>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</si>
  <si>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</si>
  <si>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</si>
  <si>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</si>
  <si>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</si>
  <si>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</si>
  <si>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</si>
  <si>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</si>
  <si>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</si>
  <si>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</si>
  <si>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</si>
  <si>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</si>
  <si>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</si>
  <si>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</si>
  <si>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</si>
  <si>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</si>
  <si>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</si>
  <si>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</si>
  <si>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</si>
  <si>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</si>
  <si>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</si>
  <si>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</si>
  <si>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</si>
  <si>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</si>
  <si>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</si>
  <si>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</si>
  <si>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</si>
  <si>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</si>
  <si>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</si>
  <si>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</si>
  <si>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</si>
  <si>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</si>
  <si>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</si>
  <si>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</si>
  <si>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</si>
  <si>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</si>
  <si>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</si>
  <si>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</si>
  <si>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</si>
  <si>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</si>
  <si>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</si>
  <si>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</si>
  <si>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</si>
  <si>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</si>
  <si>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</si>
  <si>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</si>
  <si>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</si>
  <si>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</si>
  <si>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</si>
  <si>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</si>
  <si>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</si>
  <si>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</si>
  <si>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</si>
  <si>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</si>
  <si>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</si>
  <si>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</si>
  <si>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</si>
  <si>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</si>
  <si>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</si>
  <si>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</si>
  <si>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</si>
  <si>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</si>
  <si>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</si>
  <si>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</si>
  <si>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</si>
  <si>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</si>
  <si>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</si>
  <si>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</si>
  <si>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</si>
  <si>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</si>
  <si>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</si>
  <si>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</si>
  <si>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</si>
  <si>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</si>
  <si>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</si>
  <si>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</si>
  <si>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</si>
  <si>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</si>
  <si>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</si>
  <si>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</si>
  <si>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</si>
  <si>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</si>
  <si>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</si>
  <si>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</si>
  <si>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</si>
  <si>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</si>
  <si>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</si>
  <si>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</si>
  <si>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</si>
  <si>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</si>
  <si>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</si>
  <si>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</si>
  <si>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</si>
  <si>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</si>
  <si>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</si>
  <si>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</si>
  <si>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</si>
  <si>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</si>
  <si>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</si>
  <si>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</si>
  <si>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</si>
  <si>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</si>
  <si>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</si>
  <si>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</si>
  <si>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</si>
  <si>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</si>
  <si>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</si>
  <si>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</si>
  <si>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</si>
  <si>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</si>
  <si>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</si>
  <si>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</si>
  <si>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</si>
  <si>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</si>
  <si>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</si>
  <si>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</si>
  <si>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</si>
  <si>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</si>
  <si>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</si>
  <si>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</si>
  <si>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</si>
  <si>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</si>
  <si>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</si>
  <si>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</si>
  <si>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</si>
  <si>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</si>
  <si>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</si>
  <si>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</si>
  <si>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</si>
  <si>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</si>
  <si>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</si>
  <si>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</si>
  <si>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</si>
  <si>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</si>
  <si>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</si>
  <si>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</si>
  <si>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</si>
  <si>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</si>
  <si>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</si>
  <si>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</si>
  <si>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</si>
  <si>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</si>
  <si>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</si>
  <si>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</si>
  <si>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</si>
  <si>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</si>
  <si>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</si>
  <si>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</si>
  <si>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</si>
  <si>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</si>
  <si>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</si>
  <si>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</si>
  <si>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</si>
  <si>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</si>
  <si>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</si>
  <si>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</si>
  <si>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</si>
  <si>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</si>
  <si>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</si>
  <si>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</si>
  <si>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</si>
  <si>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</si>
  <si>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</si>
  <si>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</si>
  <si>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</si>
  <si>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</si>
  <si>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</si>
  <si>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</si>
  <si>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</si>
  <si>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</si>
  <si>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</si>
  <si>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</si>
  <si>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</si>
  <si>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</si>
  <si>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</si>
  <si>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</si>
  <si>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</si>
  <si>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</si>
  <si>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</si>
  <si>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</si>
  <si>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</si>
  <si>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</si>
  <si>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</si>
  <si>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</si>
  <si>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</si>
  <si>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</si>
  <si>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</si>
  <si>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</si>
  <si>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</si>
  <si>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</si>
  <si>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</si>
  <si>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</si>
  <si>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</si>
  <si>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</si>
  <si>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</si>
  <si>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</si>
  <si>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</si>
  <si>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</si>
  <si>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</si>
  <si>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</si>
  <si>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</si>
  <si>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</si>
  <si>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</si>
  <si>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</si>
  <si>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</si>
  <si>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</si>
  <si>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</si>
  <si>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</si>
  <si>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</si>
  <si>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</si>
  <si>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</si>
  <si>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</si>
  <si>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</si>
  <si>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</si>
  <si>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</si>
  <si>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</si>
  <si>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</si>
  <si>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</si>
  <si>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</si>
  <si>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</si>
  <si>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</si>
  <si>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</si>
  <si>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</si>
  <si>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</si>
  <si>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</si>
  <si>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</si>
  <si>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</si>
  <si>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</si>
  <si>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</si>
  <si>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</si>
  <si>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</si>
  <si>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</si>
  <si>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</si>
  <si>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</si>
  <si>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</si>
  <si>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</si>
  <si>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</si>
  <si>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</si>
  <si>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</si>
  <si>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</si>
  <si>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</si>
  <si>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</si>
  <si>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</si>
  <si>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</si>
  <si>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</si>
  <si>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</si>
  <si>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</si>
  <si>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</si>
  <si>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</si>
  <si>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</si>
  <si>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</si>
  <si>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</si>
  <si>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</si>
  <si>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</si>
  <si>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</si>
  <si>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</si>
  <si>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</si>
  <si>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</si>
  <si>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</si>
  <si>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</si>
  <si>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</si>
  <si>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</si>
  <si>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</si>
  <si>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</si>
  <si>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</si>
  <si>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</si>
  <si>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</si>
  <si>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</si>
  <si>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</si>
  <si>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</si>
  <si>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</si>
  <si>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</si>
  <si>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</si>
  <si>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</si>
  <si>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</si>
  <si>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</si>
  <si>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</si>
  <si>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</si>
  <si>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</si>
  <si>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</si>
  <si>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</si>
  <si>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</si>
  <si>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</si>
  <si>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</si>
  <si>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</si>
  <si>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</si>
  <si>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</si>
  <si>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</si>
  <si>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</si>
  <si>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</si>
  <si>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</si>
  <si>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</si>
  <si>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</si>
  <si>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</si>
  <si>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</si>
  <si>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</si>
  <si>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</si>
  <si>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</si>
  <si>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</si>
  <si>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</si>
  <si>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</si>
  <si>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</si>
  <si>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</si>
  <si>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</si>
  <si>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</si>
  <si>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</si>
  <si>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</si>
  <si>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</si>
  <si>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</si>
  <si>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</si>
  <si>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</si>
  <si>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</si>
  <si>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</si>
  <si>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</si>
  <si>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</si>
  <si>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</si>
  <si>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</si>
  <si>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</si>
  <si>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</si>
  <si>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</si>
  <si>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</si>
  <si>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</si>
  <si>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</si>
  <si>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</si>
  <si>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</si>
  <si>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</si>
  <si>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</si>
  <si>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</si>
  <si>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</si>
  <si>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</si>
  <si>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</si>
  <si>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</si>
  <si>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</si>
  <si>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</si>
  <si>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</si>
  <si>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</si>
  <si>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</si>
  <si>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</si>
  <si>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</si>
  <si>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</si>
  <si>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</si>
  <si>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</si>
  <si>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</si>
  <si>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</si>
  <si>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</si>
  <si>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</si>
  <si>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</si>
  <si>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</si>
  <si>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</si>
  <si>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</si>
  <si>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</si>
  <si>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</si>
  <si>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</si>
  <si>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</si>
  <si>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</si>
  <si>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</si>
  <si>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</si>
  <si>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</si>
  <si>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</si>
  <si>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</si>
  <si>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</si>
  <si>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</si>
  <si>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</si>
  <si>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</si>
  <si>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</si>
  <si>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</si>
  <si>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</si>
  <si>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</si>
  <si>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</si>
  <si>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</si>
  <si>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</si>
  <si>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</si>
  <si>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</si>
  <si>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</si>
  <si>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</si>
  <si>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</si>
  <si>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</si>
  <si>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</si>
  <si>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</si>
  <si>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</si>
  <si>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</si>
  <si>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</si>
  <si>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</si>
  <si>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</si>
  <si>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</si>
  <si>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</si>
  <si>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</si>
  <si>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</si>
  <si>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</si>
  <si>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</si>
  <si>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</si>
  <si>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</si>
  <si>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</si>
  <si>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</si>
  <si>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</si>
  <si>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</si>
  <si>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</si>
  <si>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</si>
  <si>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</si>
  <si>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</si>
  <si>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</si>
  <si>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</si>
  <si>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</si>
  <si>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</si>
  <si>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</si>
  <si>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</si>
  <si>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</si>
  <si>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</si>
  <si>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</si>
  <si>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</si>
  <si>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</si>
  <si>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</si>
  <si>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</si>
  <si>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</si>
  <si>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</si>
  <si>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</si>
  <si>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</si>
  <si>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</si>
  <si>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</si>
  <si>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</si>
  <si>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</si>
  <si>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</si>
  <si>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</si>
  <si>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</si>
  <si>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</si>
  <si>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</si>
  <si>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</si>
  <si>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</si>
  <si>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</si>
  <si>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</si>
  <si>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</si>
  <si>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</si>
  <si>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</si>
  <si>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</si>
  <si>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</si>
  <si>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</si>
  <si>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</si>
  <si>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</si>
  <si>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</si>
  <si>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</si>
  <si>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</si>
  <si>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</si>
  <si>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</si>
  <si>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</si>
  <si>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</si>
  <si>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</si>
  <si>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</si>
  <si>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</si>
  <si>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</si>
  <si>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</si>
  <si>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</si>
  <si>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</si>
  <si>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</si>
  <si>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</si>
  <si>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</si>
  <si>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</si>
  <si>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</si>
  <si>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</si>
  <si>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</si>
  <si>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</si>
  <si>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</si>
  <si>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</si>
  <si>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</si>
  <si>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</si>
  <si>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</si>
  <si>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</si>
  <si>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</si>
  <si>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</si>
  <si>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</si>
  <si>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</si>
  <si>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</si>
  <si>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</si>
  <si>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</si>
  <si>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</si>
  <si>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</si>
  <si>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</si>
  <si>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</si>
  <si>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</si>
  <si>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</si>
  <si>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</si>
  <si>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</si>
  <si>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</si>
  <si>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</si>
  <si>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</si>
  <si>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</si>
  <si>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</si>
  <si>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</si>
  <si>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</si>
  <si>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</si>
  <si>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</si>
  <si>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</si>
  <si>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</si>
  <si>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</si>
  <si>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</si>
  <si>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</si>
  <si>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</si>
  <si>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</si>
  <si>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</si>
  <si>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</si>
  <si>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</si>
  <si>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</si>
  <si>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</si>
  <si>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</si>
  <si>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</si>
  <si>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</si>
  <si>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</si>
  <si>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</si>
  <si>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</si>
  <si>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</si>
  <si>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</si>
  <si>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</si>
  <si>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</si>
  <si>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</si>
  <si>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</si>
  <si>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</si>
  <si>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</si>
  <si>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</si>
  <si>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</si>
  <si>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</si>
  <si>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</si>
  <si>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</si>
  <si>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</si>
  <si>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</si>
  <si>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</si>
  <si>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</si>
  <si>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</si>
  <si>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</si>
  <si>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</si>
  <si>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</si>
  <si>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</si>
  <si>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</si>
  <si>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</si>
  <si>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</si>
  <si>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</si>
  <si>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</si>
  <si>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</si>
  <si>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</si>
  <si>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</si>
  <si>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</si>
  <si>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</si>
  <si>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</si>
  <si>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</si>
  <si>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</si>
  <si>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</si>
  <si>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</si>
  <si>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</si>
  <si>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</si>
  <si>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</si>
  <si>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</si>
  <si>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</si>
  <si>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</si>
  <si>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</si>
  <si>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</si>
  <si>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</si>
  <si>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</si>
  <si>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</si>
  <si>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</si>
  <si>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</si>
  <si>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</si>
  <si>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</si>
  <si>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</si>
  <si>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</si>
  <si>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</si>
  <si>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</si>
  <si>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</si>
  <si>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</si>
  <si>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</si>
  <si>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</si>
  <si>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</si>
  <si>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</si>
  <si>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</si>
  <si>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</si>
  <si>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</si>
  <si>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</si>
  <si>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</si>
  <si>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</si>
  <si>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</si>
  <si>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</si>
  <si>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</si>
  <si>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</si>
  <si>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</si>
  <si>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</si>
  <si>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</si>
  <si>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</si>
  <si>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</si>
  <si>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</si>
  <si>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</si>
  <si>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</si>
  <si>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</si>
  <si>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</si>
  <si>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</si>
  <si>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</si>
  <si>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</si>
  <si>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</si>
  <si>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</si>
  <si>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</si>
  <si>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</si>
  <si>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</si>
  <si>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</si>
  <si>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</si>
  <si>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</si>
  <si>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</si>
  <si>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</si>
  <si>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</si>
  <si>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</si>
  <si>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</si>
  <si>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</si>
  <si>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</si>
  <si>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</si>
  <si>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</si>
  <si>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</si>
  <si>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</si>
  <si>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</si>
  <si>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</si>
  <si>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</si>
  <si>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</si>
  <si>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</si>
  <si>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</si>
  <si>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</si>
  <si>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</si>
  <si>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</si>
  <si>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</si>
  <si>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</si>
  <si>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</si>
  <si>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</si>
  <si>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</si>
  <si>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</si>
  <si>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</si>
  <si>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</si>
  <si>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</si>
  <si>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</si>
  <si>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</si>
  <si>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</si>
  <si>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</si>
  <si>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</si>
  <si>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</si>
  <si>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</si>
  <si>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</si>
  <si>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</si>
  <si>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</si>
  <si>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</si>
  <si>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</si>
  <si>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</si>
  <si>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</si>
  <si>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</si>
  <si>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</si>
  <si>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</si>
  <si>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</si>
  <si>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</si>
  <si>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</si>
  <si>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</si>
  <si>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</si>
  <si>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</si>
  <si>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</si>
  <si>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</si>
  <si>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</si>
  <si>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</si>
  <si>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</si>
  <si>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</si>
  <si>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</si>
  <si>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</si>
  <si>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</si>
  <si>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</si>
  <si>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</si>
  <si>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</si>
  <si>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</si>
  <si>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</si>
  <si>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</si>
  <si>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</si>
  <si>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</si>
  <si>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</si>
  <si>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</si>
  <si>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</si>
  <si>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</si>
  <si>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</si>
  <si>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</si>
  <si>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</si>
  <si>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</si>
  <si>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</si>
  <si>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</si>
  <si>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</si>
  <si>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</si>
  <si>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</si>
  <si>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</si>
  <si>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</si>
  <si>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</si>
  <si>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</si>
  <si>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</si>
  <si>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</si>
  <si>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</si>
  <si>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</si>
  <si>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</si>
  <si>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</si>
  <si>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</si>
  <si>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</si>
  <si>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</si>
  <si>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</si>
  <si>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</si>
  <si>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</si>
  <si>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</si>
  <si>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</si>
  <si>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</si>
  <si>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</si>
  <si>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</si>
  <si>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</si>
  <si>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</si>
  <si>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</si>
  <si>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</si>
  <si>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</si>
  <si>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</si>
  <si>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</si>
  <si>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</si>
  <si>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</si>
  <si>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</si>
  <si>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</si>
  <si>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</si>
  <si>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</si>
  <si>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</si>
  <si>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</si>
  <si>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</si>
  <si>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</si>
  <si>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</si>
  <si>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</si>
  <si>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</si>
  <si>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</si>
  <si>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</si>
  <si>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</si>
  <si>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</si>
  <si>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</si>
  <si>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</si>
  <si>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</si>
  <si>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</si>
  <si>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</si>
  <si>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</si>
  <si>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</si>
  <si>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</si>
  <si>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</si>
  <si>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</si>
  <si>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</si>
  <si>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</si>
  <si>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</si>
  <si>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</si>
  <si>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</si>
  <si>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</si>
  <si>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</si>
  <si>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</si>
  <si>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</si>
  <si>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</si>
  <si>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</si>
  <si>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</si>
  <si>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</si>
  <si>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</si>
  <si>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</si>
  <si>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</si>
  <si>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</si>
  <si>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</si>
  <si>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</si>
  <si>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</si>
  <si>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</si>
  <si>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</si>
  <si>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</si>
  <si>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</si>
  <si>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</si>
  <si>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</si>
  <si>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</si>
  <si>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</si>
  <si>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</si>
  <si>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</si>
  <si>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</si>
  <si>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</si>
  <si>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</si>
  <si>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</si>
  <si>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</si>
  <si>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</si>
  <si>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</si>
  <si>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</si>
  <si>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</si>
  <si>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</si>
  <si>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</si>
  <si>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</si>
  <si>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</si>
  <si>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</si>
  <si>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</si>
  <si>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</si>
  <si>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</si>
  <si>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</si>
  <si>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</si>
  <si>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</si>
  <si>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</si>
  <si>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</si>
  <si>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</si>
  <si>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</si>
  <si>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</si>
  <si>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</si>
  <si>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</si>
  <si>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</si>
  <si>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</si>
  <si>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</si>
  <si>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</si>
  <si>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</si>
  <si>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</si>
  <si>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</si>
  <si>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</si>
  <si>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</si>
  <si>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</si>
  <si>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</si>
  <si>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</si>
  <si>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</si>
  <si>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</si>
  <si>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</si>
  <si>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</si>
  <si>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</si>
  <si>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</si>
  <si>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</si>
  <si>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</si>
  <si>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</si>
  <si>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</si>
  <si>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</si>
  <si>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</si>
  <si>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</si>
  <si>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</si>
  <si>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</si>
  <si>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</si>
  <si>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</si>
  <si>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</si>
  <si>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</si>
  <si>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</si>
  <si>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</si>
  <si>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</si>
  <si>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</si>
  <si>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</si>
  <si>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</si>
  <si>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</si>
  <si>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</si>
  <si>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</si>
  <si>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</si>
  <si>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</si>
  <si>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</si>
  <si>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</si>
  <si>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</si>
  <si>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</si>
  <si>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</si>
  <si>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</si>
  <si>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</si>
  <si>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</si>
  <si>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</si>
  <si>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</si>
  <si>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</si>
  <si>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</si>
  <si>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</si>
  <si>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</si>
  <si>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</si>
  <si>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</si>
  <si>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</si>
  <si>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</si>
  <si>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</si>
  <si>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</si>
  <si>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</si>
  <si>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</si>
  <si>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</si>
  <si>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</si>
  <si>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</si>
  <si>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</si>
  <si>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</si>
  <si>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</si>
  <si>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</si>
  <si>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</si>
  <si>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</si>
  <si>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</si>
  <si>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</si>
  <si>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</si>
  <si>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</si>
  <si>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</si>
  <si>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</si>
  <si>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</si>
  <si>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</si>
  <si>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</si>
  <si>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</si>
  <si>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</si>
  <si>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</si>
  <si>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</si>
  <si>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</si>
  <si>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</si>
  <si>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</si>
  <si>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</si>
  <si>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</si>
  <si>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</si>
  <si>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</si>
  <si>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</si>
  <si>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</si>
  <si>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</si>
  <si>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</si>
  <si>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</si>
  <si>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</si>
  <si>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</si>
  <si>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</si>
  <si>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</si>
  <si>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</si>
  <si>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</si>
  <si>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</si>
  <si>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</si>
  <si>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</si>
  <si>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</si>
  <si>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</si>
  <si>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</si>
  <si>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</si>
  <si>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</si>
  <si>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</si>
  <si>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</si>
  <si>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</si>
  <si>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</si>
  <si>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</si>
  <si>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</si>
  <si>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</si>
  <si>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</si>
  <si>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</si>
  <si>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</si>
  <si>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</si>
  <si>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</si>
  <si>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</si>
  <si>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</si>
  <si>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</si>
  <si>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</si>
  <si>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</si>
  <si>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</si>
  <si>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</si>
  <si>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</si>
  <si>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</si>
  <si>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</si>
  <si>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</si>
  <si>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</si>
  <si>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</si>
  <si>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</si>
  <si>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</si>
  <si>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</si>
  <si>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</si>
  <si>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</si>
  <si>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</si>
  <si>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</si>
  <si>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</si>
  <si>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</si>
  <si>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</si>
  <si>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</si>
  <si>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</si>
  <si>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</si>
  <si>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</si>
  <si>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</si>
  <si>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</si>
  <si>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</si>
  <si>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</si>
  <si>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</si>
  <si>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</si>
  <si>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</si>
  <si>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</si>
  <si>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</si>
  <si>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</si>
  <si>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</si>
  <si>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</si>
  <si>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</si>
  <si>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</si>
  <si>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</si>
  <si>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</si>
  <si>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</si>
  <si>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</si>
  <si>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</si>
  <si>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</si>
  <si>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</si>
  <si>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</si>
  <si>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</si>
  <si>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</si>
  <si>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</si>
  <si>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</si>
  <si>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</si>
  <si>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</si>
  <si>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</si>
  <si>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</si>
  <si>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</si>
  <si>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</si>
  <si>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</si>
  <si>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</si>
  <si>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</si>
  <si>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</si>
  <si>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</si>
  <si>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</si>
  <si>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</si>
  <si>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</si>
  <si>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</si>
  <si>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</si>
  <si>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</si>
  <si>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</si>
  <si>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</si>
  <si>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</si>
  <si>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</si>
  <si>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</si>
  <si>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</si>
  <si>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</si>
  <si>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</si>
  <si>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</si>
  <si>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</si>
  <si>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</si>
  <si>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</si>
  <si>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</si>
  <si>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</si>
  <si>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</si>
  <si>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</si>
  <si>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</si>
  <si>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</si>
  <si>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</si>
  <si>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</si>
  <si>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</si>
  <si>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</si>
  <si>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</si>
  <si>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</si>
  <si>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</si>
  <si>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</si>
  <si>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</si>
  <si>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</si>
  <si>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</si>
  <si>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</si>
  <si>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</si>
  <si>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</si>
  <si>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</si>
  <si>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</si>
  <si>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</si>
  <si>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</si>
  <si>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</si>
  <si>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</si>
  <si>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</si>
  <si>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</si>
  <si>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</si>
  <si>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</si>
  <si>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</si>
  <si>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</si>
  <si>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</si>
  <si>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</si>
  <si>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</si>
  <si>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</si>
  <si>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</si>
  <si>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</si>
  <si>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</si>
  <si>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</si>
  <si>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</si>
  <si>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</si>
  <si>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</si>
  <si>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</si>
  <si>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</si>
  <si>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</si>
  <si>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</si>
  <si>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</si>
  <si>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</si>
  <si>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</si>
  <si>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</si>
  <si>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</si>
  <si>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</si>
  <si>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</si>
  <si>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</si>
  <si>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</si>
  <si>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</si>
  <si>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</si>
  <si>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</si>
  <si>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</si>
  <si>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</si>
  <si>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</si>
  <si>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</si>
  <si>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</si>
  <si>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</si>
  <si>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</si>
  <si>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</si>
  <si>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</si>
  <si>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</si>
  <si>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</si>
  <si>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</si>
  <si>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</si>
  <si>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</si>
  <si>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</si>
  <si>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</si>
  <si>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</si>
  <si>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</si>
  <si>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</si>
  <si>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</si>
  <si>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</si>
  <si>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</si>
  <si>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</si>
  <si>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</si>
  <si>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</si>
  <si>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</si>
  <si>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</si>
  <si>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</si>
  <si>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</si>
  <si>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</si>
  <si>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</si>
  <si>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</si>
  <si>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</si>
  <si>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</si>
  <si>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</si>
  <si>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</si>
  <si>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</si>
  <si>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</si>
  <si>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</si>
  <si>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</si>
  <si>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</si>
  <si>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</si>
  <si>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</si>
  <si>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</si>
  <si>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</si>
  <si>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</si>
  <si>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</si>
  <si>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</si>
  <si>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</si>
  <si>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</si>
  <si>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</si>
  <si>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</si>
  <si>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</si>
  <si>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</si>
  <si>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</si>
  <si>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</si>
  <si>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</si>
  <si>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</si>
  <si>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</si>
  <si>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</si>
  <si>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</si>
  <si>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</si>
  <si>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</si>
  <si>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</si>
  <si>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</si>
  <si>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</si>
  <si>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</si>
  <si>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</si>
  <si>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</si>
  <si>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</si>
  <si>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</si>
  <si>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</si>
  <si>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</si>
  <si>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</si>
  <si>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</si>
  <si>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</si>
  <si>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</si>
  <si>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</si>
  <si>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</si>
  <si>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</si>
  <si>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</si>
  <si>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</si>
  <si>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</si>
  <si>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</si>
  <si>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</si>
  <si>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</si>
  <si>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</si>
  <si>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</si>
  <si>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</si>
  <si>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</si>
  <si>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</si>
  <si>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</si>
  <si>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</si>
  <si>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</si>
  <si>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</si>
  <si>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</si>
  <si>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</si>
  <si>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</si>
  <si>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</si>
  <si>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</si>
  <si>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</si>
  <si>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</si>
  <si>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</si>
  <si>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</si>
  <si>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</si>
  <si>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</si>
  <si>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</si>
  <si>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</si>
  <si>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</si>
  <si>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</si>
  <si>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</si>
  <si>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</si>
  <si>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</si>
  <si>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</si>
  <si>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</si>
  <si>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</si>
  <si>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</si>
  <si>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</si>
  <si>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</si>
  <si>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</si>
  <si>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</si>
  <si>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</si>
  <si>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</si>
  <si>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</si>
  <si>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</si>
  <si>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</si>
  <si>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</si>
  <si>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</si>
  <si>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</si>
  <si>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</si>
  <si>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</si>
  <si>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</si>
  <si>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</si>
  <si>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</si>
  <si>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</si>
  <si>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</si>
  <si>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</si>
  <si>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</si>
  <si>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</si>
  <si>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</si>
  <si>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</si>
  <si>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</si>
  <si>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</si>
  <si>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</si>
  <si>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</si>
  <si>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</si>
  <si>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</si>
  <si>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</si>
  <si>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</si>
  <si>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</si>
  <si>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</si>
  <si>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</si>
  <si>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</si>
  <si>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</si>
  <si>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</si>
  <si>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</si>
  <si>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</si>
  <si>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</si>
  <si>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</si>
  <si>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</si>
  <si>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</si>
  <si>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</si>
  <si>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</si>
  <si>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</si>
  <si>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</si>
  <si>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</si>
  <si>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</si>
  <si>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</si>
  <si>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</si>
  <si>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</si>
  <si>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</si>
  <si>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</si>
  <si>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</si>
  <si>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</si>
  <si>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</si>
  <si>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</si>
  <si>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</si>
  <si>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</si>
  <si>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</si>
  <si>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</si>
  <si>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</si>
  <si>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</si>
  <si>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</si>
  <si>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</si>
  <si>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</si>
  <si>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</si>
  <si>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</si>
  <si>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</si>
  <si>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</si>
  <si>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</si>
  <si>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</si>
  <si>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</si>
  <si>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</si>
  <si>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</si>
  <si>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</si>
  <si>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</si>
  <si>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</si>
  <si>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</si>
  <si>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</si>
  <si>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</si>
  <si>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</si>
  <si>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</si>
  <si>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</si>
  <si>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</si>
  <si>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</si>
  <si>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</si>
  <si>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</si>
  <si>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</si>
  <si>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</si>
  <si>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</si>
  <si>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</si>
  <si>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</si>
  <si>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</si>
  <si>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</si>
  <si>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</si>
  <si>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</si>
  <si>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</si>
  <si>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</si>
  <si>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</si>
  <si>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</si>
  <si>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</si>
  <si>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</si>
  <si>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</si>
  <si>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</si>
  <si>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</si>
  <si>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</si>
  <si>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</si>
  <si>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</si>
  <si>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</si>
  <si>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</si>
  <si>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</si>
  <si>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</si>
  <si>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</si>
  <si>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</si>
  <si>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</si>
  <si>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</si>
  <si>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</si>
  <si>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</si>
  <si>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</si>
  <si>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</si>
  <si>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</si>
  <si>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</si>
  <si>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</si>
  <si>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</si>
  <si>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</si>
  <si>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</si>
  <si>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</si>
  <si>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</si>
  <si>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</si>
  <si>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</si>
  <si>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</si>
  <si>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</si>
  <si>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</si>
  <si>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</si>
  <si>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</si>
  <si>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</si>
  <si>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</si>
  <si>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</si>
  <si>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</si>
  <si>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</si>
  <si>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</si>
  <si>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</si>
  <si>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</si>
  <si>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</si>
  <si>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</si>
  <si>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</si>
  <si>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</si>
  <si>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</si>
  <si>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</si>
  <si>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</si>
  <si>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</si>
  <si>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</si>
  <si>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</si>
  <si>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</si>
  <si>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</si>
  <si>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</si>
  <si>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</si>
  <si>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</si>
  <si>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</si>
  <si>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</si>
  <si>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</si>
  <si>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</si>
  <si>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</si>
  <si>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</si>
  <si>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</si>
  <si>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</si>
  <si>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</si>
  <si>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</si>
  <si>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</si>
  <si>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</si>
  <si>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</si>
  <si>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</si>
  <si>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</si>
  <si>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</si>
  <si>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</si>
  <si>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</si>
  <si>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</si>
  <si>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</si>
  <si>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</si>
  <si>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</si>
  <si>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</si>
  <si>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</si>
  <si>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</si>
  <si>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</si>
  <si>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</si>
  <si>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</si>
  <si>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</si>
  <si>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</si>
  <si>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</si>
  <si>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</si>
  <si>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</si>
  <si>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</si>
  <si>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</si>
  <si>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</si>
  <si>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</si>
  <si>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</si>
  <si>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</si>
  <si>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</si>
  <si>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</si>
  <si>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</si>
  <si>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</si>
  <si>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</si>
  <si>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</si>
  <si>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</si>
  <si>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</si>
  <si>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</si>
  <si>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</si>
  <si>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</si>
  <si>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</si>
  <si>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</si>
  <si>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</si>
  <si>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</si>
  <si>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</si>
  <si>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</si>
  <si>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</si>
  <si>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</si>
  <si>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</si>
  <si>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</si>
  <si>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</si>
  <si>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</si>
  <si>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</si>
  <si>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</si>
  <si>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</si>
  <si>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</si>
  <si>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</si>
  <si>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</si>
  <si>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</si>
  <si>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</si>
  <si>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</si>
  <si>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</si>
  <si>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</si>
  <si>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</si>
  <si>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</si>
  <si>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</si>
  <si>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</si>
  <si>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</si>
  <si>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</si>
  <si>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</si>
  <si>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</si>
  <si>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</si>
  <si>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</si>
  <si>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</si>
  <si>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</si>
  <si>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</si>
  <si>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</si>
  <si>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</si>
  <si>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</si>
  <si>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</si>
  <si>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</si>
  <si>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</si>
  <si>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</si>
  <si>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</si>
  <si>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</si>
  <si>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</si>
  <si>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</si>
  <si>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</si>
  <si>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</si>
  <si>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</si>
  <si>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</si>
  <si>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</si>
  <si>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</si>
  <si>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</si>
  <si>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</si>
  <si>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</si>
  <si>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</si>
  <si>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</si>
  <si>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</si>
  <si>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</si>
  <si>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</si>
  <si>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</si>
  <si>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</si>
  <si>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</si>
  <si>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</si>
  <si>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</si>
  <si>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</si>
  <si>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</si>
  <si>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</si>
  <si>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</si>
  <si>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</si>
  <si>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</si>
  <si>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</si>
  <si>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</si>
  <si>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</si>
  <si>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</si>
  <si>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</si>
  <si>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</si>
  <si>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</si>
  <si>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</si>
  <si>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</si>
  <si>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</si>
  <si>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</si>
  <si>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</si>
  <si>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</si>
  <si>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</si>
  <si>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</si>
  <si>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</si>
  <si>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</si>
  <si>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</si>
  <si>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</si>
  <si>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</si>
  <si>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</si>
  <si>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</si>
  <si>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</si>
  <si>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</si>
  <si>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</si>
  <si>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</si>
  <si>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</si>
  <si>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</si>
  <si>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</si>
  <si>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</si>
  <si>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</si>
  <si>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</si>
  <si>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</si>
  <si>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</si>
  <si>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</si>
  <si>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</si>
  <si>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</si>
  <si>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</si>
  <si>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</si>
  <si>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</si>
  <si>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</si>
  <si>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</si>
  <si>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</si>
  <si>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</si>
  <si>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</si>
  <si>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</si>
  <si>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</si>
  <si>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</si>
  <si>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</si>
  <si>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</si>
  <si>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</si>
  <si>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</si>
  <si>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</si>
  <si>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</si>
  <si>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</si>
  <si>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</si>
  <si>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</si>
  <si>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</si>
  <si>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</si>
  <si>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</si>
  <si>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</si>
  <si>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</si>
  <si>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</si>
  <si>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</si>
  <si>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</si>
  <si>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</si>
  <si>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</si>
  <si>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</si>
  <si>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</si>
  <si>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</si>
  <si>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</si>
  <si>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</si>
  <si>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</si>
  <si>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</si>
  <si>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</si>
  <si>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</si>
  <si>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</si>
  <si>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</si>
  <si>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</si>
  <si>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</si>
  <si>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</si>
  <si>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</si>
  <si>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</si>
  <si>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</si>
  <si>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</si>
  <si>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</si>
  <si>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</si>
  <si>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</si>
  <si>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</si>
  <si>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</si>
  <si>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</si>
  <si>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</si>
  <si>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</si>
  <si>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</si>
  <si>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</si>
  <si>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</si>
  <si>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</si>
  <si>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</si>
  <si>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</si>
  <si>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</si>
  <si>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</si>
  <si>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</si>
  <si>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</si>
  <si>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</si>
  <si>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</si>
  <si>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</si>
  <si>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</si>
  <si>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</si>
  <si>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</si>
  <si>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</si>
  <si>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</si>
  <si>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</si>
  <si>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</si>
  <si>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</si>
  <si>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</si>
  <si>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</si>
  <si>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</si>
  <si>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</si>
  <si>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</si>
  <si>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</si>
  <si>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</si>
  <si>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</si>
  <si>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</si>
  <si>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</si>
  <si>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</si>
  <si>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</si>
  <si>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</si>
  <si>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</si>
  <si>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</si>
  <si>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</si>
  <si>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</si>
  <si>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</si>
  <si>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</si>
  <si>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</si>
  <si>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</si>
  <si>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</si>
  <si>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</si>
  <si>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</si>
  <si>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</si>
  <si>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</si>
  <si>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</si>
  <si>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</si>
  <si>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</si>
  <si>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</si>
  <si>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</si>
  <si>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</si>
  <si>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</si>
  <si>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</si>
  <si>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</si>
  <si>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</si>
  <si>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</si>
  <si>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</si>
  <si>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</si>
  <si>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</si>
  <si>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</si>
  <si>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</si>
  <si>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</si>
  <si>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</si>
  <si>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</si>
  <si>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</si>
  <si>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</si>
  <si>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</si>
  <si>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</si>
  <si>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</si>
  <si>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</si>
  <si>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</si>
  <si>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</si>
  <si>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</si>
  <si>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</si>
  <si>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</si>
  <si>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</si>
  <si>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</si>
  <si>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</si>
  <si>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</si>
  <si>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</si>
  <si>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</si>
  <si>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</si>
  <si>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</si>
  <si>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</si>
  <si>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</si>
  <si>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</si>
  <si>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</si>
  <si>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</si>
  <si>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</si>
  <si>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</si>
  <si>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</si>
  <si>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</si>
  <si>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</si>
  <si>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</si>
  <si>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</si>
  <si>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</si>
  <si>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</si>
  <si>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</si>
  <si>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</si>
  <si>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</si>
  <si>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</si>
  <si>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</si>
  <si>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</si>
  <si>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</si>
  <si>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</si>
  <si>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</si>
  <si>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</si>
  <si>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</si>
  <si>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</si>
  <si>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</si>
  <si>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</si>
  <si>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</si>
  <si>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</si>
  <si>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</si>
  <si>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</si>
  <si>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</si>
  <si>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</si>
  <si>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</si>
  <si>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</si>
  <si>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</si>
  <si>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</si>
  <si>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</si>
  <si>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</si>
  <si>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</si>
  <si>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</si>
  <si>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</si>
  <si>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</si>
  <si>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</si>
  <si>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</si>
  <si>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</si>
  <si>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</si>
  <si>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</si>
  <si>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</si>
  <si>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</si>
  <si>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</si>
  <si>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</si>
  <si>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</si>
  <si>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</si>
  <si>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</si>
  <si>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</si>
  <si>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</si>
  <si>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</si>
  <si>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</si>
  <si>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</si>
  <si>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</si>
  <si>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</si>
  <si>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</si>
  <si>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</si>
  <si>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</si>
  <si>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</si>
  <si>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</si>
  <si>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</si>
  <si>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</si>
  <si>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</si>
  <si>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</si>
  <si>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</si>
  <si>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</si>
  <si>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</si>
  <si>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</si>
  <si>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</si>
  <si>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</si>
  <si>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</si>
  <si>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</si>
  <si>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</si>
  <si>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</si>
  <si>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</si>
  <si>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</si>
  <si>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</si>
  <si>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</si>
  <si>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</si>
  <si>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</si>
  <si>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</si>
  <si>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</si>
  <si>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</si>
  <si>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</si>
  <si>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</si>
  <si>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</si>
  <si>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</si>
  <si>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</si>
  <si>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</si>
  <si>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</si>
  <si>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</si>
  <si>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</si>
  <si>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</si>
  <si>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</si>
  <si>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</si>
  <si>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</si>
  <si>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</si>
  <si>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</si>
  <si>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</si>
  <si>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</si>
  <si>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</si>
  <si>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</si>
  <si>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</si>
  <si>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</si>
  <si>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</si>
  <si>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</si>
  <si>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</si>
  <si>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</si>
  <si>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</si>
  <si>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</si>
  <si>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</si>
  <si>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</si>
  <si>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</si>
  <si>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</si>
  <si>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</si>
  <si>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</si>
  <si>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</si>
  <si>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</si>
  <si>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</si>
  <si>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</si>
  <si>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</si>
  <si>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</si>
  <si>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</si>
  <si>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</si>
  <si>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</si>
  <si>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</si>
  <si>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</si>
  <si>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</si>
  <si>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</si>
  <si>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</si>
  <si>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</si>
  <si>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</si>
  <si>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</si>
  <si>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</si>
  <si>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</si>
  <si>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</si>
  <si>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</si>
  <si>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</si>
  <si>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</si>
  <si>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</si>
  <si>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</si>
  <si>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</si>
  <si>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</si>
  <si>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</si>
  <si>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</si>
  <si>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</si>
  <si>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</si>
  <si>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</si>
  <si>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</si>
  <si>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</si>
  <si>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</si>
  <si>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</si>
  <si>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</si>
  <si>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</si>
  <si>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</si>
  <si>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</si>
  <si>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</si>
  <si>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</si>
  <si>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</si>
  <si>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</si>
  <si>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</si>
  <si>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</si>
  <si>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</si>
  <si>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</si>
  <si>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</si>
  <si>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</si>
  <si>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</si>
  <si>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</si>
  <si>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</si>
  <si>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</si>
  <si>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</si>
  <si>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</si>
  <si>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</si>
  <si>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</si>
  <si>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</si>
  <si>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</si>
  <si>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</si>
  <si>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</si>
  <si>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</si>
  <si>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</si>
  <si>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</si>
  <si>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</si>
  <si>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</si>
  <si>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</si>
  <si>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</si>
  <si>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</si>
  <si>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</si>
  <si>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</si>
  <si>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</si>
  <si>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</si>
  <si>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</si>
  <si>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</si>
  <si>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</si>
  <si>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</si>
  <si>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</si>
  <si>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</si>
  <si>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</si>
  <si>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</si>
  <si>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</si>
  <si>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</si>
  <si>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</si>
  <si>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</si>
  <si>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</si>
  <si>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</si>
  <si>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</si>
  <si>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</si>
  <si>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</si>
  <si>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</si>
  <si>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</si>
  <si>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</si>
  <si>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</si>
  <si>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</si>
  <si>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</si>
  <si>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</si>
  <si>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</si>
  <si>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</si>
  <si>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</si>
  <si>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</si>
  <si>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</si>
  <si>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</si>
  <si>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</si>
  <si>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</si>
  <si>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</si>
  <si>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</si>
  <si>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</si>
  <si>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</si>
  <si>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</si>
  <si>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</si>
  <si>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</si>
  <si>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</si>
  <si>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</si>
  <si>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</si>
  <si>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</si>
  <si>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</si>
  <si>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</si>
  <si>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</si>
  <si>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</si>
  <si>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</si>
  <si>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</si>
  <si>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</si>
  <si>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</si>
  <si>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</si>
  <si>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</si>
  <si>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</si>
  <si>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</si>
  <si>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</si>
  <si>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</si>
  <si>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</si>
  <si>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</si>
  <si>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</si>
  <si>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</si>
  <si>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</si>
  <si>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</si>
  <si>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</si>
  <si>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</si>
  <si>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</si>
  <si>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</si>
  <si>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</si>
  <si>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</si>
  <si>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</si>
  <si>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</si>
  <si>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</si>
  <si>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</si>
  <si>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</si>
  <si>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</si>
  <si>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</si>
  <si>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</si>
  <si>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</si>
  <si>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</si>
  <si>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</si>
  <si>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</si>
  <si>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</si>
  <si>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</si>
  <si>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</si>
  <si>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</si>
  <si>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</si>
  <si>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</si>
  <si>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</si>
  <si>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</si>
  <si>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</si>
  <si>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</si>
  <si>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</si>
  <si>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</si>
  <si>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</si>
  <si>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</si>
  <si>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</si>
  <si>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</si>
  <si>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</si>
  <si>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</si>
  <si>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</si>
  <si>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</si>
  <si>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</si>
  <si>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</si>
  <si>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</si>
  <si>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</si>
  <si>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</si>
  <si>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</si>
  <si>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</si>
  <si>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</si>
  <si>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</si>
  <si>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</si>
  <si>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</si>
  <si>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</si>
  <si>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</si>
  <si>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</si>
  <si>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</si>
  <si>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</si>
  <si>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</si>
  <si>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</si>
  <si>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</si>
  <si>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</si>
  <si>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</si>
  <si>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</si>
  <si>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</si>
  <si>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</si>
  <si>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</si>
  <si>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</si>
  <si>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</si>
  <si>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</si>
  <si>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</si>
  <si>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</si>
  <si>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</si>
  <si>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</si>
  <si>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</si>
  <si>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</si>
  <si>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</si>
  <si>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</si>
  <si>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</si>
  <si>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</si>
  <si>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</si>
  <si>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</si>
  <si>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</si>
  <si>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</si>
  <si>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</si>
  <si>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</si>
  <si>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</si>
  <si>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</si>
  <si>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</si>
  <si>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</si>
  <si>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</si>
  <si>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</si>
  <si>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</si>
  <si>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</si>
  <si>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</si>
  <si>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</si>
  <si>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</si>
  <si>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</si>
  <si>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</si>
  <si>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</si>
  <si>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</si>
  <si>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</si>
  <si>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</si>
  <si>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</si>
  <si>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</si>
  <si>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</si>
  <si>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</si>
  <si>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</si>
  <si>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</si>
  <si>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</si>
  <si>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</si>
  <si>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</si>
  <si>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</si>
  <si>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</si>
  <si>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</si>
  <si>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</si>
  <si>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</si>
  <si>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</si>
  <si>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</si>
  <si>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</si>
  <si>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</si>
  <si>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</si>
  <si>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ANDORA</t>
  </si>
  <si>
    <t>C/ Prat de la creu 59-65 Esc. A 3º AD500, Andorra la Vella</t>
  </si>
  <si>
    <t>Eduardo Sotilla</t>
  </si>
  <si>
    <t>ESotilla@lorfebre.com</t>
  </si>
  <si>
    <t>Andorra, Australia, Austria, Belgium, Brazil, Canada, Chile, China, Colombia, Egypt, France, Germany, Hungary, India, Indonesia, Ireland, Israel, Japan, Republic of Korea, Luxembourg, Malaysia, Mexico, Netherlands, Niger, Nigeria, Peru, Portugal, Recycled/Scrap, Singapore, Slovakia, Spain, Switzerland, Thailand, United Kingdom, United States, Uzbekistan, Zimbabwe</t>
  </si>
  <si>
    <t>This smelter is RMI Conformant.
http://www.responsiblemineralsinitiative.org/gold-refiners-list/</t>
  </si>
  <si>
    <t>Newburn, Australia</t>
  </si>
  <si>
    <t>Nathan Edwards</t>
  </si>
  <si>
    <t>Nathan.edwards@perthmint.com.au</t>
  </si>
  <si>
    <t>No action required,  CFS Certified</t>
  </si>
  <si>
    <t>RCOI confirmed per RMI</t>
  </si>
  <si>
    <t>Argentina, Australia, Austria, Belgium, Bolivia (Plurinational State of), Brazil, Cambodia, Canada, Chile, China, Colombia, Ecuador, Guinea, Hong Kong, Japan, Republic of Korea, Papua New Guinea, Peru, Recycled/Scrap, Russian Federation, Switzerland, United States</t>
  </si>
  <si>
    <t>Conformant</t>
  </si>
  <si>
    <t>/</t>
  </si>
  <si>
    <t>John Taylor</t>
  </si>
  <si>
    <t>jtaylor@globaladvancedmetals.com</t>
  </si>
  <si>
    <t>No action required.</t>
  </si>
  <si>
    <t>Bergia 33, St. Martin i-S, Styria, Austria A-8543</t>
  </si>
  <si>
    <t>Steffen Schmidt</t>
  </si>
  <si>
    <t>s.schmidt@wolfram.at</t>
  </si>
  <si>
    <t>Argentina, Australia, Austria, Belgium, Brazil, Cambodia, Canada, Chile, China, Colombia, Djibouti, Ecuador, Egypt, Estonia, Ethiopia, France, Germany, Guyana, Hungary, India, Indonesia, Ireland, Israel, Japan, Kazakhstan, Portugal, Recycled/Scrap, Rwanda</t>
  </si>
  <si>
    <t>CID001371</t>
  </si>
  <si>
    <t>Plansee SE Liezen</t>
  </si>
  <si>
    <t/>
  </si>
  <si>
    <t>Liesinger Flur-Gasse 4, 1230 Vienna, Austria</t>
  </si>
  <si>
    <t>Marcus Fasching</t>
  </si>
  <si>
    <t>marcus.fasching@oegussa.at</t>
  </si>
  <si>
    <t>Recycled/Scrap, Austria, Indonesia, Japan, China, Colombia, Mongolia, Peru, Italy, American Samoa</t>
  </si>
  <si>
    <t>Hoboken, Belgium</t>
  </si>
  <si>
    <t>Jan Robbroeckx</t>
  </si>
  <si>
    <t>Jan.Robbroeckx@eu.umicore.com</t>
  </si>
  <si>
    <t>Nieuwe Dreef 33, 2340 Beerse</t>
  </si>
  <si>
    <t>Inge Hofkens</t>
  </si>
  <si>
    <t>Inge.Hofkens@metallo.com</t>
  </si>
  <si>
    <t>Argentina, Australia, Austria, Belgium, Brazil, Canada, Chile, China, Democratic Republic of the Congo, Estonia, France, Germany, Hungary, India, Indonesia, Ireland, Israel, Japan, Republic of Korea, Luxembourg, Malaysia, Mongolia, Myanmar, Netherlands, Niger, Nigeria, Peru, Portugal, Russian Federation, Singapore, Slovakia, Spain, Switzerland, Thailand, United Kingdom, United States, Vietnam</t>
  </si>
  <si>
    <t>CID000835</t>
  </si>
  <si>
    <t>Jean Goldschmidt International (JGI Hydrometal)</t>
  </si>
  <si>
    <t>Belgium, Recycled/Scrap</t>
  </si>
  <si>
    <t>CID003617</t>
  </si>
  <si>
    <t>Value Trading</t>
  </si>
  <si>
    <t>Road Oruro to Cala Cala, km 7.5, Bolivia</t>
  </si>
  <si>
    <t>Marcelo Cespedes</t>
  </si>
  <si>
    <t>marcelo.cespedes@vinto.gob.bo</t>
  </si>
  <si>
    <t>Bolivia  State owned &amp; Private Mines</t>
  </si>
  <si>
    <t>Bolivia</t>
  </si>
  <si>
    <t>Operaciones Metalúrgicas SA Km. 3.5 Carretera a Capachos, Zona Industrial Huajara, Oruro, Bolivia</t>
  </si>
  <si>
    <t>Mariano Pero</t>
  </si>
  <si>
    <t>mpero@omsabo.com</t>
  </si>
  <si>
    <t>Mineral sourcing LR based on RMAP-RMI's RCOI data</t>
  </si>
  <si>
    <t>Nova Lima, Brazil</t>
  </si>
  <si>
    <t>Jose Roberto Vago</t>
  </si>
  <si>
    <t>JRVago@AngloGoldAshanti.com.br</t>
  </si>
  <si>
    <t>No action required, conformant-audited by LBMA RG</t>
  </si>
  <si>
    <t>Andorra, Australia, Bolivia (Plurinational State of), Brazil, Canada, China, Japan, Recycled/Scrap, Singapore, South Africa, Switzerland, Tanzania, Uzbekistan</t>
  </si>
  <si>
    <t>RCOI confirmed as per RMAP, LBMA, and or RJC</t>
  </si>
  <si>
    <t>Rua do Estanho, 123, Ariquemes, Rondônia, Brasil</t>
  </si>
  <si>
    <t>Ivan Cardoso</t>
  </si>
  <si>
    <t>ivan.viana@csn.com.br</t>
  </si>
  <si>
    <t>No action required,  RMAP conformant</t>
  </si>
  <si>
    <t>Mineral sourcing HR based on RMAP-RMI's RCOI data</t>
  </si>
  <si>
    <t>Rodovia BR 383 Km 94, Sao Joao Del Rei, Minas Gerais, Brasil</t>
  </si>
  <si>
    <t>Alexander Bruno de Paiva</t>
  </si>
  <si>
    <t>apaiva@amg-br.com</t>
  </si>
  <si>
    <t>Mineral sourcing LR and HR based on RMAP-RMI's RCOI data</t>
  </si>
  <si>
    <t>Estrada dos Romeiros, Km 49, Bairro Guarapiranga, Pirapora do Bom Jesus City, São Paulo State, Brazil</t>
  </si>
  <si>
    <t>Analia Calmell del Solar Del Rio</t>
  </si>
  <si>
    <t>analia.calmelldelsolar@minsur.com</t>
  </si>
  <si>
    <t>Australia, Brazil, China, Indonesia</t>
  </si>
  <si>
    <t>Vila Pitinga s/n, Zona Rural, Presidente Figueiredo, Brazil</t>
  </si>
  <si>
    <t>No action required, conformant-audited by RMI</t>
  </si>
  <si>
    <t>CID001758</t>
  </si>
  <si>
    <t>Soft Metais Ltda.</t>
  </si>
  <si>
    <t>Bebedouro</t>
  </si>
  <si>
    <t>not available</t>
  </si>
  <si>
    <t>Renata Sarri</t>
  </si>
  <si>
    <t>renatasarri@softmetais.com.br</t>
  </si>
  <si>
    <t>Recycled/Scrap, Brazil, Malaysia, Mongolia, Portugal, Myanmar, Austria, India, Cambodia, Kazakhstan, Colombia, Namibia, Ethiopia, Argentina, Germany, Peru, Guyana, Luxembourg, Chile, Ecuador, Korea, Canada, Japan, Hungary, Belgium, Niger, Nigeria, Zimbabwe, China, Sierra Leone, Thailand, Australia, Indonesia, Ireland, United Kingdom, United States, Egypt, France, Madagascar, Netherlands, Singapore, Slovakia, Djibouti, Estonia, Israel, Suriname, Switzerland, Mozambique, Burundi, Rwanda, Taiwan, Russian Federation, Viet Nam</t>
  </si>
  <si>
    <t>Paulo Amparo</t>
  </si>
  <si>
    <t>gerentegeral.rp@whitesolder.com.br</t>
  </si>
  <si>
    <t>Argentina, Austria, Belgium, Brazil, Cambodia, Canada, Chile, China, Ecuador, Ethiopia, Germany, Guyana, Hungary, India, Indonesia, Japan, Kazakhstan, Korea, Luxembourg, Malaysia, Mongolia, Myanmar, Namibia, Peru, Portugal, Recycled/Scrap, Thailand</t>
  </si>
  <si>
    <t>Av. Joao Ferreira Penna, 281 Distrito industrial III, CEP 14707-202 Bebedouro, Sao Paulo, Brazil</t>
  </si>
  <si>
    <t>Fernando Junior</t>
  </si>
  <si>
    <t>fernandojunior@magnusmetais.com.br</t>
  </si>
  <si>
    <t>Argentina, Australia, Austria, Belgium, Brazil, Canada, Chile, China, Estonia, France, Germany, Hungary, India, Indonesia, Ireland, Israel, Japan, Republic of Korea, Luxembourg, Malaysia, Mongolia, Myanmar, Netherlands, Niger, Nigeria, Peru, Portugal, Russian Federation, Singapore, Slovakia, Spain, Switzerland, Thailand, United Kingdom, United States, Vietnam</t>
  </si>
  <si>
    <t>Rodovia BR 265 - Km 264 - Distrido Industrial de São João Del Rei - Minas gerais, CEP: 36315-000</t>
  </si>
  <si>
    <t>Daniel Clemente</t>
  </si>
  <si>
    <t>Desenvolvimento@resind.com.br</t>
  </si>
  <si>
    <t>Argentina, Australia, Austria, Belgium, Brazil, Burundi, Canada, Chile, China, Estonia, France, Germany, Hungary, India, Indonesia, Ireland, Israel, Japan, Niger, Nigeria, Rwanda, United States</t>
  </si>
  <si>
    <t>Australia, Brazil, Canada, China, El Salvador, Estonia, Ethiopia, France, Germany, Hong Kong, India, Indonesia, Ireland, Israel, Japan, Republic of Korea, Madagascar, Mexico, Mozambique, Niger, Nigeria, Recycled/Scrap, Russian Federation, Sierra Leone, Singapore, Spain, Thailand, United Kingdom, United States</t>
  </si>
  <si>
    <t>Estrada Municipal Sargento Florêncio Ferreira, s/n., Glebas Califórnia, Piracicaba-SP, 13403-153</t>
  </si>
  <si>
    <t>Vinicius Soares Regno</t>
  </si>
  <si>
    <t>vinicius@superligasmetais.com.br</t>
  </si>
  <si>
    <t>Australia, Brazil, China, Malaysia, Mongolia, Myanmar, Spain</t>
  </si>
  <si>
    <t>Rua Augusto Valiatti, 77, Corveta – Araquari – Santa Catarina, ZIP Code: 89245-000</t>
  </si>
  <si>
    <t>Leandro Campos</t>
  </si>
  <si>
    <t>leandro.campos@cronimet.com.br</t>
  </si>
  <si>
    <t>Mineral sourcing LR based on RMAP-RMI's RCOI data. Brazil, Liechtenstein</t>
  </si>
  <si>
    <t>Rua Senador Carlos Gomes de Oliveira,80 São José/SC Brazil Zip Code 88104-785</t>
  </si>
  <si>
    <t>Henrique Samy Pereira</t>
  </si>
  <si>
    <t>hsamy@crmdobrasil.com</t>
  </si>
  <si>
    <t>Recycled, Scrap</t>
  </si>
  <si>
    <t>Mineral sourcing R/S based on RMAP-RMI's RCOI data. Recycled/Scrap</t>
  </si>
  <si>
    <t>Marilene Souza</t>
  </si>
  <si>
    <t>marilene.souza@am.umicore.com</t>
  </si>
  <si>
    <t>Argentina, Australia, Austria, Belgium, Brazil, Cambodia, Canada, Chile, China, Colombia, Ecuador, Ethiopia, Germany, Guyana, Hungary, India, Japan, Kazakhstan, Korea, Luxembourg, Malaysia, Mongolia, Myanmar, Namibia, Peru, Portugal, Recycled/Scrap, Taiwan</t>
  </si>
  <si>
    <t>CID002601</t>
  </si>
  <si>
    <t>House of Currency of Brazil (Casa da Moeda do Brazil)</t>
  </si>
  <si>
    <t>Argentina, Austria, Belgium, Brazil, Cambodia, Canada, Chile, China, Colombia, Ecuador, Ethiopia, Germany, Guyana, Hungary, India, Japan, Kazakhstan, Korea, Luxembourg, Malaysia, Mongolia, Myanmar, Namibia, Peru, Portugal, Recycled/Scrap, United States</t>
  </si>
  <si>
    <t>Argentina, Austria, Belgium, Brazil, Cambodia, Canada, Chile, Ecuador, Ethiopia, Germany, Guam, Guyana, Hungary, India, Japan, Kazakhstan, Korea, Luxembourg, Malaysia, Mongolia, Morocco, Myanmar, Peru, Portugal, Recycled/Scrap, Russian Federation, Taiwan</t>
  </si>
  <si>
    <t>Brazil, Democratic Republic of the Congo</t>
  </si>
  <si>
    <t>Estrada Mauro Auricchio, 1500, Bairro Taboão, Mogi das Cruzes, São Paulo</t>
  </si>
  <si>
    <t>Douglas Cesar de Araujo</t>
  </si>
  <si>
    <t>douglas.araujo@chumbo.com.br</t>
  </si>
  <si>
    <t>Mineral sourcing LR based on RMAP-RMI's RCOI data. Brazil</t>
  </si>
  <si>
    <t>Teresa Bent</t>
  </si>
  <si>
    <t>Teresa.Bent@glencore-ca.com</t>
  </si>
  <si>
    <t>Andorra, Argentina, Australia, Bolivia (Plurinational State of), Brazil, Canada, Chile, China, Congo, Democratic Republic of the Congo, Germany, India, Indonesia, Japan, Republic of Korea, Mexico, Peru, Portugal, Recycled/Scrap, Spain, Switzerland, United States, Zambia</t>
  </si>
  <si>
    <t>David Dorris</t>
  </si>
  <si>
    <t>david.dorris@asahirefining.com</t>
  </si>
  <si>
    <t>320 Sussex Drive</t>
  </si>
  <si>
    <t>Ms. Amanda Bartleman</t>
  </si>
  <si>
    <t>bartleman@mint.ca</t>
  </si>
  <si>
    <t>Argentina, Austria, Belgium, Brazil, Cambodia, Canada, Chile, China, Colombia, Ecuador, Germany, Guyana, Hungary, India, Japan, Kazakhstan, Republic of Korea, Luxembourg, Malaysia, Mexico, Namibia, Peru, Recycled/Scrap, Suriname, Switzerland, United States</t>
  </si>
  <si>
    <t>Sexta Industrial 8147, Mejillones II Región</t>
  </si>
  <si>
    <t>Luis Shin</t>
  </si>
  <si>
    <t>luis.shin@prmchile.com</t>
  </si>
  <si>
    <t>From Low Risk area defined by RMI</t>
  </si>
  <si>
    <t>Argentina, Australia, Austria, Brazil, Canada, Chile, China, Ethiopia, Germany, Ghana, Guinea, Guyana, India, Indonesia, Japan, Malaysia, Mexico, Mongolia, Mozambique, Namibia, Niger, Nigeria, Peru, Recycled/Scrap, Switzerland, United States, Zambia</t>
  </si>
  <si>
    <t>20F Block A, Marina Bay Center, South of Xinghua Rd. Bao’an Center Area, Shenzhen, Guangdong Sheng</t>
  </si>
  <si>
    <t>Zhaoxia Zeng</t>
  </si>
  <si>
    <t>zengzhaoxia@gem.com.cn</t>
  </si>
  <si>
    <t>China, Recycled/Scrap</t>
  </si>
  <si>
    <t>YES</t>
  </si>
  <si>
    <t>Ms. Eileen</t>
  </si>
  <si>
    <t>hfw@xl-tungsten.com</t>
  </si>
  <si>
    <t>China, Namibia, Japan, Austria, Brazil, Canada, Colombia, Mongolia, Portugal, Peru, Argentina, Cambodia, Chile, Ecuador, Guyana, Hungary, India, Kazakhstan, Korea, Luxembourg, Malaysia, Myanmar, Belgium, Ethiopia, Germany, Suriname, United States, Australia, Ireland, Niger, Nigeria, Spain, United Kingdom, Switzerland, Egypt, Estonia, France, Israel, Madagascar, Netherlands, Sierra Leone, Singapore, Slovakia, Thailand, Zimbabwe, Djibouti, Indonesia, Taiwan, Viet Nam, Russian Federation</t>
  </si>
  <si>
    <t>Shegutian Team, Xiadu Village, Qiaokou Town, Suxianqiao District, Chenzhou, Hunnan / City province or state postal code: 650018, KUNMING</t>
  </si>
  <si>
    <t>Wei Yang</t>
  </si>
  <si>
    <t>yangwei2907@163.com</t>
  </si>
  <si>
    <t>Recycling and from Gejiu Laochang Tin Mine, Song Shujiao Tin Mine.</t>
  </si>
  <si>
    <t>Argentina, Australia, Brazil, China, Germany, Indonesia, Ireland, Republic of Korea, Malaysia, Mongolia, Myanmar, Niger, Nigeria, Peru, Portugal, Russian Federation, Thailand, United Kingdom, Vietnam</t>
  </si>
  <si>
    <t>Wubing</t>
  </si>
  <si>
    <t>export1@zy-tungsten.com</t>
  </si>
  <si>
    <t>Australia, Austria, Bolivia (Plurinational State of), Brazil, China, Congo, Democratic Republic of the Congo, Ireland, Kazakhstan, Malaysia, Mexico, Mongolia, Myanmar, Niger, Nigeria, Portugal, Russian Federation, Spain, Thailand, United Kingdom, United States, Vietnam</t>
  </si>
  <si>
    <t>This smelter is RMI Conformant.
http://www.responsiblemineralsinitiative.org/tungsten-smelters-list/</t>
  </si>
  <si>
    <t>Miranda Zi</t>
  </si>
  <si>
    <t>zh_ctns@126.com</t>
  </si>
  <si>
    <t>Australia, Brazil, Burundi, China, Congo, Democratic Republic of the Congo, Ethiopia, France, Madagascar, Mozambique, Niger, Nigeria, Rwanda, Sierra Leone, Spain</t>
  </si>
  <si>
    <t>Xinhui, Jiangmen, Guangdong, China</t>
  </si>
  <si>
    <t>Mr. Zheng</t>
  </si>
  <si>
    <t>xyz@uil.com.hk</t>
  </si>
  <si>
    <t>Mineral sourcing LR, HR, CC and DRC based on RMAP-RMI's RCOI data</t>
  </si>
  <si>
    <t>Smelting Chemical Industry Park, Jinding Industry Park, Linxi county, Chifeng city, Inner Mongolia</t>
  </si>
  <si>
    <t>Mr. Zhao Lizhi</t>
  </si>
  <si>
    <t>406815194@qq.com; 15248671457@djzxy.com</t>
  </si>
  <si>
    <t>Australia, Brazil, China, France, Indonesia, Ireland, Republic of Korea, Malaysia, Niger, Nigeria, Peru, Portugal, Russian Federation, Spain, Thailand, United Kingdom</t>
  </si>
  <si>
    <t>Gejiu, Yunnan Sheng</t>
  </si>
  <si>
    <t>Wu Jin</t>
  </si>
  <si>
    <t>wu@gejiumetal.com</t>
  </si>
  <si>
    <t>Guangdong Zhiyuan New Material Co., Ltd. Qiaotou Town, Yingde City Guangdong Province, China</t>
  </si>
  <si>
    <t>Richard Zeng</t>
  </si>
  <si>
    <t>richard@ximeigroup.com</t>
  </si>
  <si>
    <t xml:space="preserve">Mineral sourcing LR, HR, CC, DRC, based on RMAP-RMI's RCOI data </t>
  </si>
  <si>
    <t>Hong Kong</t>
  </si>
  <si>
    <t>Marc Schuetzkowski</t>
  </si>
  <si>
    <t>marc.schuetzkowski@heraeus.com</t>
  </si>
  <si>
    <t>Mineral R/S and mining from various mines from Philipines, Thailand, Laos</t>
  </si>
  <si>
    <t>Yuanwuwei Road, Saihan District, Hohhot City, Inner Mongolia, Autonomous Region, China</t>
  </si>
  <si>
    <t>2274801749@qq.com</t>
  </si>
  <si>
    <t>Argentina, Austria, Belgium, Brazil, Cambodia, Canada, Chile, China, Colombia, Ecuador, Germany, Guyana, Hungary, India, Indonesia, Japan, Kazakhstan, Luxembourg, Malaysia, Mexico, Mongolia, Namibia, Peru, Recycled/Scrap, Republic of Korea</t>
  </si>
  <si>
    <t>Yejin Avenue, Guixi City, Jiangxi</t>
  </si>
  <si>
    <t>Mr. Zhang</t>
  </si>
  <si>
    <t>master@jxcn.cn</t>
  </si>
  <si>
    <t>Argentina, Australia, Austria, Belgium, Brazil, Cambodia, Canada, Chile, China, Ecuador, Egypt, Estonia, France, Germany, Guyana, Hungary, India, Japan, Peru, Recycled/Scrap, South Africa, Spain, United States</t>
  </si>
  <si>
    <t>No.018, Qinhu Avenue, Binjiang East Road, Xuntang District, Jiujiang City, JiangXi Province, China</t>
  </si>
  <si>
    <t>Janny</t>
  </si>
  <si>
    <t>janny@jiujiangjx.com</t>
  </si>
  <si>
    <t xml:space="preserve">Mineral sourcing HR,CC, DRC, based on RMAP-RMI's RCOI data </t>
  </si>
  <si>
    <t>No. 62, Jiuhu Road, Jiujiang City, Jiangxi 
Province, China, P.C: 332014</t>
  </si>
  <si>
    <t>Ms. Lynn Chan</t>
  </si>
  <si>
    <t>import@jjtanbre.com.cn</t>
  </si>
  <si>
    <t>Mineral sourcing DRC, HR, R/S, LR, CC and mining from China</t>
  </si>
  <si>
    <t>Henan Industry Zone, Xinbin District, Laibin City, GuangXi Province, China</t>
  </si>
  <si>
    <t>Don Lidexin</t>
  </si>
  <si>
    <t>ddl1626@163.com</t>
  </si>
  <si>
    <t>Argentina, Australia, Bolivia (Plurinational State of), Brazil, Canada, China, Indonesia, Japan, Malaysia, Mexico, Mongolia, Myanmar, Niger, Nigeria, Peru, Portugal, Russian Federation, Switzerland, Thailand, United States</t>
  </si>
  <si>
    <t>Building B, 48 Dongfu Road, Suzhou Industrial Park, Jiangsu Province, P.R. China 215123</t>
  </si>
  <si>
    <t>Mr. Xiaodong Li</t>
  </si>
  <si>
    <t>xiaodong.li@metalor.com</t>
  </si>
  <si>
    <t>No action required,  CFS certified</t>
  </si>
  <si>
    <t>Andorra, Argentina, Australia, Austria, Azerbaijan, Belarus, Belgium, Brazil, Cambodia, Canada, Chile, China, Colombia, Ecuador, Germany, Guyana, Hungary, India, Indonesia, Japan, Kazakhstan, Republic of Korea, Luxembourg, Malaysia, Mexico, Mongolia, Namibia, Niger, Nigeria, Peru, Portugal, Recycled/Scrap, Russian Federation, Singapore, South Africa, Switzerland, United Kingdom, United States</t>
  </si>
  <si>
    <t>Kwai Chung, Hong Kong</t>
  </si>
  <si>
    <t>Larry Drummond</t>
  </si>
  <si>
    <t>Larry.Drummond@metalor.com</t>
  </si>
  <si>
    <t>Argentina, Australia, Austria, Brazil, Cambodia, Canada, Chile, China, Colombia, Congo, Democratic Republic of the Congo, Ecuador, Guyana, Hong Kong, Hungary, India, Indonesia, Japan, Kazakhstan, Republic of Korea, Luxembourg, Malaysia, Mongolia, Peru, Recycled/Scrap, Singapore, South Africa, Switzerland, United States</t>
  </si>
  <si>
    <t>Nan Kang Industrial Park, Ganzhou, Jiangxi Province, China, 341413</t>
  </si>
  <si>
    <t>Ms. Xiaoting Xie</t>
  </si>
  <si>
    <t>1296619795@qq.com</t>
  </si>
  <si>
    <t>Argentina, Australia, Austria, Belgium, Brazil, Canada, Chile, China, Estonia, France, Germany, Hungary, India, Indonesia, Ireland, Israel, Japan, Republic of Korea, Luxembourg, Malaysia, Mongolia, Myanmar, Netherlands, Niger, Nigeria, Peru, Portugal, Russian Federation, Singapore, Slovakia, Spain, Switzerland, Thailand, United Kingdom, United States</t>
  </si>
  <si>
    <t>Ningxia Orient Tantalum Industry Co. Ltd., No. 119 Yejin Road, Dawukou District, Shizuishan City, 753000 Ningxia, China</t>
  </si>
  <si>
    <t>Yi Lin</t>
  </si>
  <si>
    <t>yil_nniec@otic.com.cn</t>
  </si>
  <si>
    <t>RFH Tantalum Smeltery Co., Ltd (RFH), The Medium &amp; Small Enterprises Development Area, Yanling County, Zhuzhou, Hunan, China</t>
  </si>
  <si>
    <t>Irene Guan</t>
  </si>
  <si>
    <t>ireneguan@jinchengtn.com</t>
  </si>
  <si>
    <t>Australia, Bolivia (Plurinational State of), Brazil, China, Ethiopia, France, Ghana, Guinea, Guyana, India, Indonesia, Madagascar, Malaysia, Namibia, Niger, Nigeria, Peru, Recycled/Scrap, Russian Federation, Sierra Leone, Thailand, United States, Zimbabwe</t>
  </si>
  <si>
    <t>13#,SMES PARK,LONG TAN DU SHI ENDUSTRY CONCENTRATIVEDEVELOPMENT ZONE, THE 2ND SECTION OF THE 3RD RING ROAD, CHENGDU</t>
  </si>
  <si>
    <t>Chen Liyang</t>
  </si>
  <si>
    <t>service@tianzegold.com</t>
  </si>
  <si>
    <t>Argentina, Australia, Austria, Belgium, Brazil, Cambodia, Canada, Chile, China, Colombia, Ecuador, Egypt, Estonia, France, Germany, Guyana, Hungary, India, Indonesia, Ireland, Republic of Korea, Mexico, Recycled/Scrap, Russian Federation, Switzerland</t>
  </si>
  <si>
    <t>Laizhou, Yantai Prefecture, Shandong Province, China</t>
  </si>
  <si>
    <t>Jiang Guochang 姜国昌</t>
  </si>
  <si>
    <t>ir@sd-gold.com</t>
  </si>
  <si>
    <t>Argentina, Australia, Austria, Brazil, Cambodia, Chile, China, Colombia, Democratic Republic of the Congo, Ecuador, Guyana, Hungary, India, Indonesia, Japan, Kazakhstan, Republic of Korea, Luxembourg, Malaysia, Mongolia, Peru, Recycled/Scrap, United States</t>
  </si>
  <si>
    <t>No.300-1, Kejing Community, Haicang Subdistrict, Xiamen Area of China (Fujian) Pilot Free Trade Zone, P.C: 361026</t>
  </si>
  <si>
    <t>Zou Suwei</t>
  </si>
  <si>
    <t>zou.suwei@cxtc.com</t>
  </si>
  <si>
    <t>Australia, Austria, Brazil, China, Democratic Republic of the Congo, Ireland, Kazakhstan, Malaysia, Mexico, Mongolia, Myanmar, Niger, Nigeria, Portugal, Russian Federation, Rwanda, Spain, Thailand, United Kingdom, United States, Vietnam</t>
  </si>
  <si>
    <t>Ms. Yang Hongju</t>
  </si>
  <si>
    <t>530426080@qq.com</t>
  </si>
  <si>
    <t>Argentina, Australia, Brazil, Chile, China, Germany, India, Indonesia, Ireland, Japan, Malaysia, Mongolia, Myanmar, Niger, Nigeria, Peru, Portugal, Recycled/Scrap, Russian Federation, Singapore, Thailand, United Kingdom, United States, Viet Nam, Zimbabwe</t>
  </si>
  <si>
    <t>Besides No. 5 Road, Economic and Technological Development Zone of Mengzi, Datun, Gejiu, Honghe, Yunnan, China</t>
  </si>
  <si>
    <t>Ms. Vera Yang</t>
  </si>
  <si>
    <t>sjfw_rs@163.com</t>
  </si>
  <si>
    <t>Includes Covered Countries and CAHRA</t>
  </si>
  <si>
    <t>Sanmenxia City, Henan, China</t>
  </si>
  <si>
    <t>zjzx@zjgold.com</t>
  </si>
  <si>
    <t>Andorra, Australia, Belgium, Brazil, Canada, China, Germany, Ghana, Hong Kong, Indonesia, Japan, Republic of Korea, Malaysia, Mongolia, Peru, Philippines, Recycled/Scrap, Switzerland, Thailand, United Kingdom, United States</t>
  </si>
  <si>
    <t>Ganxian Hongjin Industry Zone 2nd Stage, Ganzhou Jiangxi, China</t>
  </si>
  <si>
    <t>Vincent Lau</t>
  </si>
  <si>
    <t>23026897@qq.com</t>
  </si>
  <si>
    <t>Australia, Austria, Brazil, China, Congo, Democratic Republic of the Congo, Ireland, Kazakhstan, Malaysia, Mongolia, Myanmar, Niger, Nigeria, Portugal, Russian Federation, Spain, Thailand, United Kingdom, United States, Vietnam</t>
  </si>
  <si>
    <t>Mike Yang</t>
  </si>
  <si>
    <t>tungsten.export@w.jx.cn</t>
  </si>
  <si>
    <t>Australia, Austria, Bolivia (Plurinational State of), Brazil, China, Ireland, Mexico, Mongolia, Niger, Nigeria, Portugal, Spain, United States</t>
  </si>
  <si>
    <t>Changlong Town, Chongyi County, Ganzhou City, Jiangxi Province, China</t>
  </si>
  <si>
    <t>Mr. Zhong Sheng</t>
  </si>
  <si>
    <t>jxxswy@jxtc.com.cn</t>
  </si>
  <si>
    <t>Australia, Austria, Bolivia (Plurinational State of), Brazil, China, Congo, Democratic Republic of the Congo, Ireland, Malaysia, Mexico, Mongolia, Niger, Russian Federation, United States</t>
  </si>
  <si>
    <t>Sunrise Project Area of Xiushui Industrial Park, Tonggu, Yichun, Jiangxi, China</t>
  </si>
  <si>
    <t>Chang Yuzhong</t>
  </si>
  <si>
    <t>dept1@cniecjx.com.cn</t>
  </si>
  <si>
    <t>Austria, Brazil, China, Kazakhstan, Malaysia, Mongolia, Myanmar, Portugal</t>
  </si>
  <si>
    <t>Malipo town, Nanfeng Xiaozhai, Yunnan, China</t>
  </si>
  <si>
    <t>Argentina, Australia, Austria, Belgium, Brazil, Cambodia, Canada, Chile, China, Colombia, Ecuador, Ethiopia, Germany, Guyana, Hungary, India, Japan, Kazakhstan, Korea, Luxembourg, Malaysia, Mongolia, Myanmar, Namibia, Peru, Portugal, Taiwan, United States</t>
  </si>
  <si>
    <t>No.298 Haijing Road, Xiamen Export Processing Zone Xiamen, Fujian, China, 361026</t>
  </si>
  <si>
    <t>Australia, Bolivia (Plurinational State of), Brazil, Burundi, Canada, China, Ethiopia, Georgia, Indonesia, Italy, Malaysia, Mexico, Mongolia, Niger, Nigeria, Peru, Philippines, Recycled/Scrap, Russian Federation, Rwanda, Spain, Thailand, United States</t>
  </si>
  <si>
    <t>WuDu Industrial Park,Xiushui County,Jiangxi Province</t>
  </si>
  <si>
    <t>Ms. Wang Ling</t>
  </si>
  <si>
    <t>370315969@qq.com</t>
  </si>
  <si>
    <t>Argentina, Australia, Austria, Belgium, Brazil, Cambodia, Canada, Chile, China, Ecuador, Ethiopia, Germany, Guyana, Hungary, India, Ireland, Japan, Kazakhstan, Korea, Luxembourg, Malaysia, Mongolia, Myanmar, Namibia, Niger, Peru, Portugal, Russian Federation, Taiwan, United States</t>
  </si>
  <si>
    <t>No. 28 Jinyuan Road, Zhuhui District, Hengyang City, Hunan Province, China</t>
  </si>
  <si>
    <t>Jiang Ying</t>
  </si>
  <si>
    <t>3377815@qq.com</t>
  </si>
  <si>
    <t>Australia, Brazil, China, Ethiopia, France, Madagascar, Niger, Nigeria, Sierra Leone, Spain</t>
  </si>
  <si>
    <t>Nancy Zhang</t>
  </si>
  <si>
    <t>nancy@grand-tungsten.com</t>
  </si>
  <si>
    <t>Australia, Austria, Brazil, China, Ireland, Kazakhstan, Malaysia, Mongolia, Myanmar, Niger, Nigeria, Portugal, Russian Federation, Spain, Thailand, United Kingdom, United States, Vietnam</t>
  </si>
  <si>
    <t>Jiulong Industrial Zone, Yanling, Zhuzhou, Hunnan, China
106, Building 27, Yonghong Village, Hetang District, Zhuzhou, Hunan, China</t>
  </si>
  <si>
    <t>Peter Tang</t>
  </si>
  <si>
    <t>tang396919@hotmail.com</t>
  </si>
  <si>
    <t>Australia, Brazil, Canada, China, Estonia, France, Germany, India, Indonesia, Ireland, Israel, Japan, Republic of Korea, Madagascar, Niger, Nigeria, Recycled/Scrap, Russian Federation, Sierra Leone, Singapore, Spain, Thailand, United Kingdom, United States</t>
  </si>
  <si>
    <t>801 East Binjiang Road, Jiujiang, Jiangxi, China</t>
  </si>
  <si>
    <t>Feng Kaishun</t>
  </si>
  <si>
    <t>tonyzatanb@qq.com</t>
  </si>
  <si>
    <t>Argentina, Austria, Belgium, Brazil, Cambodia, Canada, Chile, China, Colombia, Democratic Republic of Congo, Ecuador, Ethiopia, Germany, Guyana, Hungary, India, Japan, Kazakhstan, Korea, Luxembourg, Malaysia, Mongolia, Myanmar, Namibia, Niger, Peru, Portugal, Recycled/Scrap, Spain, Taiwan</t>
  </si>
  <si>
    <t>NO.98, Hujiabian Road, Fengxin, Jiangxi Sheng, China</t>
  </si>
  <si>
    <t>Jocelyn Liu</t>
  </si>
  <si>
    <t>jocelynliu@qq.com</t>
  </si>
  <si>
    <t>Argentina, Australia, Brazil, Canada, Chile, China, Ethiopia, France, Guinea, India, Japan, Madagascar, Malaysia, Mexico, Niger, Nigeria, Papua New Guinea, Peru, Recycled/Scrap, Russian Federation, Sierra Leone, Singapore, Thailand, United States</t>
  </si>
  <si>
    <t>Ganzhou City, Jiangxi Province, P.R.China</t>
  </si>
  <si>
    <t>marketing@jxtc.com.cn</t>
  </si>
  <si>
    <t>Australia, Austria, Bolivia (Plurinational State of), Brazil, China, Ireland, Mexico, Mongolia, Myanmar, Niger, Nigeria, Portugal, Russian Federation, Rwanda, Spain, United Kingdom, United States, Vietnam</t>
  </si>
  <si>
    <t>He Yu Village, He Yu Town, Luanchuan County, Luoyang City, Henan Province</t>
  </si>
  <si>
    <t>Yanhua Liu</t>
  </si>
  <si>
    <t>liuyanhua@cn.cmoc.com</t>
  </si>
  <si>
    <t>Austria, Brazil, China, Japan, Liechtenstein, Recycled/Scrap</t>
  </si>
  <si>
    <t>No. 3, Chunyi Road, Industrial Park</t>
  </si>
  <si>
    <t>Huang Yan</t>
  </si>
  <si>
    <t>710612919@qq.com</t>
  </si>
  <si>
    <t>Australia, Brazil, Canada, China, Ethiopia, France, Guinea, India, Madagascar, Malaysia, Mozambique, Namibia, Niger, Nigeria, Recycled/Scrap, Russian Federation, Saudi Arabia, Sierra Leone, Thailand, Turkey, United Arab Emirates, United States, Zimbabwe</t>
  </si>
  <si>
    <t>Jiu Er Industrial Area, Jun Men Ling Town, HuiChang County, Ganzhou City, Jiangxi Province, China</t>
  </si>
  <si>
    <t>Mr. Peng Xu</t>
  </si>
  <si>
    <t>470977527@qq.com</t>
  </si>
  <si>
    <t>From Low Risk area defined by RMI. China</t>
  </si>
  <si>
    <t>Wugong Longshan Laohu Guxiang Village 1, Chaoan Zone of Chaozhou, Guangdong</t>
  </si>
  <si>
    <t>Ying Yan</t>
  </si>
  <si>
    <t>36739603@qq.com</t>
  </si>
  <si>
    <t>Australia, Bolivia (Plurinational State of), Brazil, Canada, China, Germany, Indonesia, Ireland, Japan, Malaysia, Mongolia, Myanmar, Niger, Nigeria, Peru, Portugal, Russian Federation, Thailand, United Kingdom, United States</t>
  </si>
  <si>
    <t>Li Haiying</t>
  </si>
  <si>
    <t>745992996@qq.com</t>
  </si>
  <si>
    <t>Australia, Brazil, China, Indonesia, Malaysia, Mongolia, Myanmar, Peru, Spain</t>
  </si>
  <si>
    <t>No.3 Weier Road, Funing Aoyang Industrial Park, Yecheng City, Jiangsu Province, China</t>
  </si>
  <si>
    <t>Rongfeng Li</t>
  </si>
  <si>
    <t>lyfyuxin@foxmail.com</t>
  </si>
  <si>
    <t>CHINA. From Low Risk area defined by RMI</t>
  </si>
  <si>
    <t>No 18 Longbi Road, Yanshi, Xinluo District, Longyan, Fujian</t>
  </si>
  <si>
    <t>Suwei Zou</t>
  </si>
  <si>
    <t>Cindy Liu</t>
  </si>
  <si>
    <t>shxwwhj@163.com</t>
  </si>
  <si>
    <t>Zhaoyuan City</t>
  </si>
  <si>
    <t>Cai Jiansheng</t>
  </si>
  <si>
    <t>zhaojinjinglian@zhaojin.cn, ytszjx@163@.com, zjky@zhaojin.com.cn</t>
  </si>
  <si>
    <t>Jin Chi Ling Gold Mine</t>
  </si>
  <si>
    <t>Argentina, Austria, Belgium, Brazil, Cambodia, Canada, Chile, China, Colombia, Ecuador, Germany, Guyana, Hungary, India, Indonesia, Japan, Kazakhstan, Republic of Korea, Luxembourg, Malaysia, Mongolia, Namibia, Peru, Recycled/Scrap, Spain, United States</t>
  </si>
  <si>
    <t>CID000059</t>
  </si>
  <si>
    <t>ANHUI HERRMAN IMPEX CO.</t>
  </si>
  <si>
    <t>Canada, Chile, China, Congo, Democratic Republic of Congo, Japan, Recycled/Scrap</t>
  </si>
  <si>
    <t>CID000211</t>
  </si>
  <si>
    <t>Changsha South Tantalum Niobium Co., Ltd.</t>
  </si>
  <si>
    <t>Changsha</t>
  </si>
  <si>
    <t>Recycled/Scrap, China, Brazil, Canada, Australia, Russian Federation, Thailand, Democratic Republic of Congo, Mozambique</t>
  </si>
  <si>
    <t>CID000261</t>
  </si>
  <si>
    <t>Australia, Belgium, Canada, Chile, China, Hong Kong, Japan, Republic of Korea, Malaysia, Mexico, Recycled/Scrap, Singapore, South Africa, Switzerland, United Kingdom, United States, Uzbekistan</t>
  </si>
  <si>
    <t>CID000357</t>
  </si>
  <si>
    <t>Dingnan Jiawang environmental Tin technology Co.</t>
  </si>
  <si>
    <t>CID000376</t>
  </si>
  <si>
    <t>Dongguan City Xida Soldering Tin Products Co.</t>
  </si>
  <si>
    <t>CID000553</t>
  </si>
  <si>
    <t>Gejiu Yunxi Group Corp.</t>
  </si>
  <si>
    <t>Australia, Bolivia (Plurinational State of), Brazil, Canada, China, Colombia, Democratic Republic of Congo, Ethiopia, France, Indonesia, Ireland, Madagascar, Malaysia, Mozambique, Myanmar, Recycled/Scrap, Russian Federation, Spain, Thailand, United States</t>
  </si>
  <si>
    <t>CID000605</t>
  </si>
  <si>
    <t>Guangdong Hua Jian Trade Co., Ltd.</t>
  </si>
  <si>
    <t>CID000626</t>
  </si>
  <si>
    <t>Guangxi Nonferrous Metals Group</t>
  </si>
  <si>
    <t>CID000628</t>
  </si>
  <si>
    <t>Guangxi Zhongshan Jin Yi Smelting Co., Ltd.</t>
  </si>
  <si>
    <t>China, Indonesia, Recycled/Scrap, Uzbekistan</t>
  </si>
  <si>
    <t>CID000670</t>
  </si>
  <si>
    <t>Hang Seng Technology</t>
  </si>
  <si>
    <t>China, Japan, Republic of Korea, Recycled/Scrap</t>
  </si>
  <si>
    <t>CID000720</t>
  </si>
  <si>
    <t>Hezhou Jinwei Tin Co., Ltd.</t>
  </si>
  <si>
    <t>CID000766</t>
  </si>
  <si>
    <t>Guanzhuang Town, Yuanling, Hunan, China</t>
  </si>
  <si>
    <t>Cici</t>
  </si>
  <si>
    <t>7231684@qq.com</t>
  </si>
  <si>
    <t>Argentina, Australia, Austria, Belgium, Brazil, Cambodia, Canada, Chile, China, Colombia, Ecuador, Ethiopia, Germany, Guyana, Hungary, India, Japan, Kazakhstan, Korea, Luxembourg, Malaysia, Mongolia, Mozambique, Myanmar, Namibia, Peru, Portugal, Recycled/Scrap, Switzerland, Taiwan</t>
  </si>
  <si>
    <t>Australia, Canada, China, Mozambique, Recycled/Scrap, Switzerland</t>
  </si>
  <si>
    <t>Australia, Austria, Brazil, China, Ireland, Kazakhstan, Malaysia, Mongolia, Myanmar, Niger, Nigeria, Peru, Portugal, Russian Federation, Spain, Thailand, United Kingdom, United States, Vietnam, Zimbabwe</t>
  </si>
  <si>
    <t>China, Chile, Japan, United States, Rwanda</t>
  </si>
  <si>
    <t>CID002508</t>
  </si>
  <si>
    <t>XinXing HaoRong Electronic Material Co., Ltd.</t>
  </si>
  <si>
    <t>Rencun Industrial Zone, Xinxing County, Yunfu City, Guangdong Province, China</t>
  </si>
  <si>
    <t>YunFu City</t>
  </si>
  <si>
    <t>Mr. Yongqiang Wang</t>
  </si>
  <si>
    <t>wyq0099@163.com</t>
  </si>
  <si>
    <t>Australia, Bolivia (Plurinational State of), Brazil, China, Colombia, Ethiopia, France, Guinea, Guyana, India, Kazakhstan, Madagascar, Malaysia, Namibia, Niger, Nigeria, Recycled/Scrap, Russian Federation, Sierra Leone, Thailand, United States, Zimbabwe</t>
  </si>
  <si>
    <t>CID000841</t>
  </si>
  <si>
    <t>Jiang Xi Jia Wang Technology Tin Products Environmental Ltd.</t>
  </si>
  <si>
    <t>CID000875</t>
  </si>
  <si>
    <t>Ganzhou Huaxing Tungsten Products Co., Ltd.</t>
  </si>
  <si>
    <t>Recycled/Scrap, China, Canada, Japan, Austria, Brazil, Colombia, Mongolia, Portugal, Chile, Peru, India, Argentina, Cambodia, Ecuador, Guyana, Hungary, Kazakhstan, Korea, Luxembourg, Malaysia, Myanmar, Mozambique, Belgium, Ethiopia, Germany, Namibia, United States, Spain, United Kingdom, Ireland, Niger, Nigeria, Australia, Rwanda, Indonesia, Switzerland, Egypt, France, Madagascar, Netherlands, Singapore, Slovakia, Suriname, Thailand, Zimbabwe, Djibouti, Estonia, Israel, Sierra Leone, Taiwan, Viet Nam, Russian Federation</t>
  </si>
  <si>
    <t>CID000909</t>
  </si>
  <si>
    <t>Jinlong Copper Co., Ltd.</t>
  </si>
  <si>
    <t>Argentina, Australia, Brazil, Canada, Chile, China, Colombia, Germany, Hong Kong, Indonesia, Ireland, Japan, Malaysia, Mongolia, Myanmar, Niger, Nigeria, Peru, Portugal, Recycled/Scrap, Russian Federation, Thailand, United Kingdom, United States</t>
  </si>
  <si>
    <t>Australia, Canada, China, Egypt, Japan, Recycled/Scrap, Saudi Arabia</t>
  </si>
  <si>
    <t>Australia, Brazil, Chile, China, India, Indonesia, Japan, Kazakhstan, Republic of Korea, Mexico, Peru, Recycled/Scrap, Singapore, South Africa, Thailand, United States</t>
  </si>
  <si>
    <t>CID001098</t>
  </si>
  <si>
    <t>Ma An Shan Shu Guang Smelter Corp.</t>
  </si>
  <si>
    <t>CID001177</t>
  </si>
  <si>
    <t>Ming Li Jia smelt Metal Factory</t>
  </si>
  <si>
    <t>CID001181</t>
  </si>
  <si>
    <t>Minmetals Ganzhou Tin Co. Ltd.</t>
  </si>
  <si>
    <t>CID001280</t>
  </si>
  <si>
    <t>CID001605</t>
  </si>
  <si>
    <t>Shan Tou Shi Yong Yuan Jin Shu Zai Sheng Co., Ltd.</t>
  </si>
  <si>
    <t>CID001606</t>
  </si>
  <si>
    <t>CID001612</t>
  </si>
  <si>
    <t>Shandong Hengbang Smelter Co., Ltd.</t>
  </si>
  <si>
    <t>China, Indonesia, Recycled/Scrap, Russian Federation, Spain</t>
  </si>
  <si>
    <t>CID001634</t>
  </si>
  <si>
    <t>Shanghai Jiangxi Metals Co., Ltd.</t>
  </si>
  <si>
    <t>CID001648</t>
  </si>
  <si>
    <t>Shangrao Xuri Smelting Factory</t>
  </si>
  <si>
    <t>CID001692</t>
  </si>
  <si>
    <t>Shenzhen Heng Zhong Industry Co., Ltd.</t>
  </si>
  <si>
    <t>CID001694</t>
  </si>
  <si>
    <t>Shenzhen Hong Chang Metal Manufacturing Factory</t>
  </si>
  <si>
    <t>CID001731</t>
  </si>
  <si>
    <t>Sichuan Guanghan Jiangnan casting smelters</t>
  </si>
  <si>
    <t>CID001745</t>
  </si>
  <si>
    <t>Sino-Platinum Metals Co., Ltd.</t>
  </si>
  <si>
    <t>CID001822</t>
  </si>
  <si>
    <t>Suzhou Nuonengda Chemical Co., Ltd.</t>
  </si>
  <si>
    <t>Australia, Belgium, Bolivia (Plurinational State of), Brazil, Canada, Chile, China, Germany, Indonesia, Japan, Malaysia, Mexico, Peru, Recycled/Scrap, Saudi Arabia, Singapore, South Africa, Switzerland, Taiwan, United Kingdom, United States, Uzbekistan</t>
  </si>
  <si>
    <t>Brazil, China, Japan, Mexico, Recycled/Scrap, Russian Federation, United States</t>
  </si>
  <si>
    <t>CID001932</t>
  </si>
  <si>
    <t>TIN PLATING GEJIU</t>
  </si>
  <si>
    <t>China, Germany, Japan, Recycled/Scrap</t>
  </si>
  <si>
    <t>CID001954</t>
  </si>
  <si>
    <t>Top-Team Technology (Shenzhen) Ltd.</t>
  </si>
  <si>
    <t>CID002009</t>
  </si>
  <si>
    <t>Viagra Di precious metals (Zhaoyuan) Co., Ltd.</t>
  </si>
  <si>
    <t>CID002057</t>
  </si>
  <si>
    <t>WUJIANG CITY LUXE TIN FACTORY</t>
  </si>
  <si>
    <t>CID002063</t>
  </si>
  <si>
    <t>Wuzhong Group</t>
  </si>
  <si>
    <t>CID002090</t>
  </si>
  <si>
    <t>Xin Furukawa Metal ( Wuxi ) Co., Ltd.</t>
  </si>
  <si>
    <t>CID002099</t>
  </si>
  <si>
    <t>XURI</t>
  </si>
  <si>
    <t>CID002121</t>
  </si>
  <si>
    <t>Yifeng Tin</t>
  </si>
  <si>
    <t>CID002147</t>
  </si>
  <si>
    <t>Yuecheng Tin Co., Ltd.</t>
  </si>
  <si>
    <t>CID002162</t>
  </si>
  <si>
    <t>Yunnan Chengo Electric Smelting Plant</t>
  </si>
  <si>
    <t>CID002164</t>
  </si>
  <si>
    <t>Yunnan Copper Zinc Industry Co., Ltd.</t>
  </si>
  <si>
    <t>CID002173</t>
  </si>
  <si>
    <t>Yunnan Industrial Co., Ltd.</t>
  </si>
  <si>
    <t>CID002195</t>
  </si>
  <si>
    <t>Zhangzhou Chuen Bao Apt Smeltery Co., Ltd.</t>
  </si>
  <si>
    <t>CID002205</t>
  </si>
  <si>
    <t>Zhe Jiang Guang Yuan Noble Metal Smelting Factory</t>
  </si>
  <si>
    <t>CID002214</t>
  </si>
  <si>
    <t>Zhongkuang Gold Industry Co., Ltd.</t>
  </si>
  <si>
    <t>CID002219</t>
  </si>
  <si>
    <t>Zhongshan Hyper-Toxic Substance Monopolized Co., Ltd.</t>
  </si>
  <si>
    <t>CID002221</t>
  </si>
  <si>
    <t>Zhongshan Poison Material Proprietary Co., Ltd.</t>
  </si>
  <si>
    <t>CID002231</t>
  </si>
  <si>
    <t>Zhuhai toxic materials Monopoly Ltd.</t>
  </si>
  <si>
    <t>CID002232</t>
  </si>
  <si>
    <t>Zhuzhou Cemented Carbide Group Co., Ltd.</t>
  </si>
  <si>
    <t>CID002235</t>
  </si>
  <si>
    <t>Zhuzhou Cement Carbide</t>
  </si>
  <si>
    <t>Shanghang, Fujian, China</t>
  </si>
  <si>
    <t xml:space="preserve">Leigui Qin </t>
  </si>
  <si>
    <t>zjkyir@zjky.cn</t>
  </si>
  <si>
    <t>Argentina, Australia, Austria, Brazil, Canada, China, Colombia, Germany, Guinea, India, Indonesia, Japan, Kyrgyzstan, Malaysia, Mongolia, Papua New Guinea, Peru, Poland, Recycled/Scrap, Russian Federation, Tajikistan, Uzbekistan</t>
  </si>
  <si>
    <t>CID002274</t>
  </si>
  <si>
    <t>GUANGXI HUA TIN GOLD MINUTE FEE, LTD.</t>
  </si>
  <si>
    <t>CID002281</t>
  </si>
  <si>
    <t>LIAN JING</t>
  </si>
  <si>
    <t>CID002309</t>
  </si>
  <si>
    <t>Yunnan Malipo Baiyi Kuangye Co.</t>
  </si>
  <si>
    <t>Australia, Brazil, China, Japan, Peru, Recycled/Scrap, Taiwan</t>
  </si>
  <si>
    <t>China, Recycled/Scrap, United States</t>
  </si>
  <si>
    <t>CID002408</t>
  </si>
  <si>
    <t>Sigma Tin Alloy Co., Ltd.</t>
  </si>
  <si>
    <t>CID002428</t>
  </si>
  <si>
    <t>Xiamen Honglu Tungsten Molybdenum Co., Ltd.</t>
  </si>
  <si>
    <t>CID002491</t>
  </si>
  <si>
    <t>Yunnan Gold Mining Group Co., Ltd. (YGMG)</t>
  </si>
  <si>
    <t>Sizhuyuan, Suxian District, Chenzhou City, Hunan Province, China</t>
  </si>
  <si>
    <t>Junhua Hu</t>
  </si>
  <si>
    <t>hujinhuacn@qq.com</t>
  </si>
  <si>
    <t>CID002519</t>
  </si>
  <si>
    <t>Henan Yuguang Gold &amp; Lead Co., Ltd.</t>
  </si>
  <si>
    <t>Guangdong</t>
  </si>
  <si>
    <t>CID002529</t>
  </si>
  <si>
    <t>Zhuzhou Smelting Group Co., Ltd</t>
  </si>
  <si>
    <t>CID002614</t>
  </si>
  <si>
    <t>Shandong Yanggu Xiangguang Co., Ltd.</t>
  </si>
  <si>
    <t>CID002635</t>
  </si>
  <si>
    <t>Hongqiao Metals (Kunshan) Co., Ltd.</t>
  </si>
  <si>
    <t>CID002644</t>
  </si>
  <si>
    <t>Ganzhou Beseem Ferrotungsten Co., Ltd.</t>
  </si>
  <si>
    <t>CID002645</t>
  </si>
  <si>
    <t>Ganzhou Haichuang Tungsten Co., Ltd.</t>
  </si>
  <si>
    <t>Argentina, Australia, Austria, Brazil, Canada, China, Ethiopia, Germany, Ghana, Guinea, Guyana, India, Indonesia, Japan, Malaysia, Mexico, Mongolia, Mozambique, Namibia, Niger, Nigeria, Peru, Portugal, Recycled/Scrap, Russian Federation, Thailand</t>
  </si>
  <si>
    <t>CID002786</t>
  </si>
  <si>
    <t>Chofu Works</t>
  </si>
  <si>
    <t>CID002819</t>
  </si>
  <si>
    <t>CID002830</t>
  </si>
  <si>
    <t>Xinfeng Huarui Tungsten &amp; Molybdenum New Material Co., Ltd.</t>
  </si>
  <si>
    <t>China, Thailand</t>
  </si>
  <si>
    <t>CID002904</t>
  </si>
  <si>
    <t>Hung Cheong Metal Manufacturing Limited</t>
  </si>
  <si>
    <t>Recycled/Scrap, China</t>
  </si>
  <si>
    <t>CID003401</t>
  </si>
  <si>
    <t>Fujian Ganmin RareMetal Co., Ltd.</t>
  </si>
  <si>
    <t>CID004431</t>
  </si>
  <si>
    <t>CMT Rare Metal Advanced Materials (Hunan) Co., Ltd.</t>
  </si>
  <si>
    <t>Carrera 48 No 16-30, Medellín, Antioquia, Colombia</t>
  </si>
  <si>
    <t>Maria Luisa Restrepo</t>
  </si>
  <si>
    <t>mlrestrepo@goldbygold.com</t>
  </si>
  <si>
    <t>CID003421</t>
  </si>
  <si>
    <t>C.I Metales Procesados Industriales SAS</t>
  </si>
  <si>
    <t>Cota</t>
  </si>
  <si>
    <t>Colombia, Recycled/Scrap</t>
  </si>
  <si>
    <t>CID003529</t>
  </si>
  <si>
    <t>Sancus ZFS (L’Orfebre, SA)</t>
  </si>
  <si>
    <t>Barranquilla</t>
  </si>
  <si>
    <t>588 Route Kipushi, Commune Annexe, Lubumbashi, Haut-Katanga, Democratic Republic of Congo</t>
  </si>
  <si>
    <t>Hitesh Raj Chag</t>
  </si>
  <si>
    <t>raj@messarl.com</t>
  </si>
  <si>
    <t>Vídenská 104, 252 42 Vestec, Czech Republic</t>
  </si>
  <si>
    <t>Daniel Chvatal</t>
  </si>
  <si>
    <t>daniel.chvatal@safina.cz</t>
  </si>
  <si>
    <t>Some are recycled or scrap sourced but not all.</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</si>
  <si>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</si>
  <si>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Molycorp Silmet AS, Kesk 2, Sillamäe, Estonia</t>
  </si>
  <si>
    <t>Julia Ignatova</t>
  </si>
  <si>
    <t>j.ignatova@neomaterials.com</t>
  </si>
  <si>
    <t>Australia, Brazil, Burundi, Canada, China, Congo, Democratic Republic of the Congo, El Salvador, Estonia, Ethiopia, France, Germany, Hong Kong, India, Indonesia, Ireland, Israel, Japan, Republic of Korea, Madagascar, Mexico, Mozambique, Niger, Nigeria, Recycled/Scrap, Russian Federation, Rwanda, Sierra Leone, Singapore, Spain, Thailand, United Kingdom, United States</t>
  </si>
  <si>
    <t>Serge Kimbrel</t>
  </si>
  <si>
    <t>serge.kimbel@weeecycling.com</t>
  </si>
  <si>
    <t>Argentina, Brazil, Canada, Chile, Colombia, Ecuador, Indonesia, Malaysia, Mexico, Mongolia, Peru, Philippines, Suriname, United States</t>
  </si>
  <si>
    <t>Kanzlerstrasse 17, 75175 Pforzheim, Germany</t>
  </si>
  <si>
    <t>Karl Heinz</t>
  </si>
  <si>
    <t>karl-heinz.flach@agosi.de</t>
  </si>
  <si>
    <t>Australia, Austria, Brazil, Canada, China, Germany, Hong Kong, India, Indonesia, Japan, Malaysia, Mexico, Mongolia, Mozambique, Niger, Nigeria, Panama, Peru, Philippines, Portugal, Recycled/Scrap, South Africa, Spain, Thailand</t>
  </si>
  <si>
    <t>Steffi Greif</t>
  </si>
  <si>
    <t>s.greif@aurubis.com</t>
  </si>
  <si>
    <t>Andorra, Australia, Brazil, Bulgaria, Canada, Chile, China, Georgia, Germany, Hong Kong, Indonesia, Japan, Republic of Korea, Malaysia, Mexico, Peru, Philippines, Recycled/Scrap, Turkey, United States, Uzbekistan</t>
  </si>
  <si>
    <t>Pforzheim, Baden-Württemberg, Germany</t>
  </si>
  <si>
    <t>Philipp Reisert, Bruno Steinmetz</t>
  </si>
  <si>
    <t>Philipp.Reisert@c-hafner.de, ph.reisert@c-hafner.de,  Bruno.Steinmetz@c-hafner.de</t>
  </si>
  <si>
    <t>Andorra, Australia, Brazil, Canada, Chile, China, Finland, Germany, Indonesia, Ireland, Japan, Mexico, Peru, Recycled/Scrap, Sweden, Switzerland, Thailand</t>
  </si>
  <si>
    <t>Dennigstraße 16 – 75179, Pforzheim, Germany</t>
  </si>
  <si>
    <t>Eduard Stefanescu</t>
  </si>
  <si>
    <t>stefanescued@heimerle-meule.com</t>
  </si>
  <si>
    <t>Australia, Austria, Brazil, Canada, China, Democratic Republic of the Congo, Germany, Hong Kong, Indonesia, Italy, Malaysia, Mexico, Mongolia, Niger, Nigeria, Philippines, Recycled/Scrap, Singapore, South Africa, Turkey, United States</t>
  </si>
  <si>
    <t>Hanau, Hessen, Germany</t>
  </si>
  <si>
    <t>Juergen Mueller</t>
  </si>
  <si>
    <t>juergen.mueller@heraeus.com</t>
  </si>
  <si>
    <t>Australia, Canada, Chile, China, France, Germany, Hong Kong, India, Ireland, Japan, Malaysia, Peru, Recycled/Scrap, Singapore, South Africa, Switzerland, Turkey, United Arab Emirates, United States</t>
  </si>
  <si>
    <t>Plant Goslar, Im Schleeke 78-91, 38642 Goslar</t>
  </si>
  <si>
    <t>Dr. Markus Zumdick</t>
  </si>
  <si>
    <t>markus.zumdick@hcstarck.com</t>
  </si>
  <si>
    <t>Australia, Austria, Brazil, China, Ireland, Kazakhstan, Malaysia, Mongolia, Myanmar, Niger, Nigeria, Portugal, Russian Federation, Rwanda, Spain, Thailand, United Kingdom, United States, Vietnam</t>
  </si>
  <si>
    <t>Plant Rhina, Ferroweg 1, 79725 Laufenburg (Baden)</t>
  </si>
  <si>
    <t>Frank Habig</t>
  </si>
  <si>
    <t>Frank.Habig@taniobis.com</t>
  </si>
  <si>
    <t>Australia, Austria, Brazil, Burundi, China, Germany, India, Ireland, Israel, Japan, Kazakhstan, Republic of Korea, Malaysia, Mongolia, Myanmar, Netherlands, Niger, Nigeria, Portugal, Recycled/Scrap, Rwanda, Singapore, Spain, Thailand, United Kingdom, United States</t>
  </si>
  <si>
    <t>Mineral sourcing  LR, CC, DRC, HR based on RMAP-RMI's RCOI data, from Australia, Bolivia, Brazil, Burundi, Democratic Republic of Congo, Ethiopia, India, Mozambique, Namibia, Nigeria, Rwanda, Sierra Leone, Zimbabwe</t>
  </si>
  <si>
    <t>Mineral sourcing  LR, HR based on RMAP-RMI's RCOI data, from Australia, Bolivia, Brazil, Burundi, Democratic Republic of Congo, Ethiopia, India, Mozambique, Namibia, Nigeria, Rwanda, Sierra Leone, Zimbabwe</t>
  </si>
  <si>
    <t>Schwenninger Straße 13, 75119 Pforzheim</t>
  </si>
  <si>
    <t>Stefan Helmling</t>
  </si>
  <si>
    <t>helmling@wieland-edelmetalle.de, Stefan.Helmling@wieland-edelmetalle.de</t>
  </si>
  <si>
    <t>Andorra, Benin, Burkina Faso, Canada, Chile, Colombia, Germany, Guatemala, Honduras, Mali, Panama, Peru, Recycled/Scrap, Senegal, Switzerland, United States</t>
  </si>
  <si>
    <t>CID000362</t>
  </si>
  <si>
    <t>DODUCO Contacts and Refining GmbH</t>
  </si>
  <si>
    <t>CID000466</t>
  </si>
  <si>
    <t>Feinhutte Halsbrucke GmbH</t>
  </si>
  <si>
    <t>Halsbruecke</t>
  </si>
  <si>
    <t>CID002547</t>
  </si>
  <si>
    <t>H.C. Starck Hermsdorf GmbH</t>
  </si>
  <si>
    <t>Hermsdorf</t>
  </si>
  <si>
    <t>Recycled/Scrap, Germany, Brazil, India, Namibia, Mozambique, Japan, Malaysia, Austria, Guyana, Portugal, Cambodia, Kazakhstan, Myanmar, Chile, Mongolia, Argentina, Luxembourg, Colombia, Ecuador, Korea, Canada, Hungary, Belgium, Australia, China, Niger, Nigeria, Zimbabwe, Ethiopia, Sierra Leone, Burundi, Rwanda, Thailand, United States, France, Madagascar, Peru, Indonesia, Spain, Egypt, Ireland, Netherlands, Singapore, Slovakia, Suriname, Djibouti, Estonia, Israel, Switzerland, United Kingdom, Philippines, Taiwan, Democratic Republic of Congo, Russian Federation, Viet Nam</t>
  </si>
  <si>
    <t>CID002777</t>
  </si>
  <si>
    <t>SAXONIA Edelmetalle GmbH</t>
  </si>
  <si>
    <t>Halsbrücke</t>
  </si>
  <si>
    <t>Canada, Germany, Recycled/Scrap</t>
  </si>
  <si>
    <t>Ghana</t>
  </si>
  <si>
    <t>Australia, Austria, Belgium, Brazil, Canada, China, Germany, Ghana, Guinea, Guyana, India, Indonesia, Japan, Malaysia, Peru, Philippines, Recycled/Scrap</t>
  </si>
  <si>
    <t>India, Recycled/Scrap</t>
  </si>
  <si>
    <t>No. T-27 MIDC Taloja Industiral Area, District Raigad, Maharashtra 410208 INDIA</t>
  </si>
  <si>
    <t>Mr. Mathur Pranav</t>
  </si>
  <si>
    <t>pm@mpil.co.in</t>
  </si>
  <si>
    <t>Australia, Brazil, Canada, China, El Salvador, Estonia, France, Germany, Hong Kong, India, Indonesia, Ireland, Israel, Japan, Republic of Korea, Madagascar, Mexico, Mozambique, Niger, Nigeria, Recycled/Scrap, Russian Federation, Sierra Leone, Singapore, Spain, Thailand, United Kingdom, United States</t>
  </si>
  <si>
    <t>Mewat, Haryana, India</t>
  </si>
  <si>
    <t>Rajesh Khosla</t>
  </si>
  <si>
    <t>rajesh.khosla@mmtcpamp.com</t>
  </si>
  <si>
    <t>Andorra, Argentina, Australia, Austria, Azerbaijan, Belarus, Belgium, Brazil, China, India, Japan, Kenya, Panama, Recycled/Scrap, Russian Federation, Switzerland, Tanzania, United States, Zambia</t>
  </si>
  <si>
    <t>Maharashtra</t>
  </si>
  <si>
    <t>India</t>
  </si>
  <si>
    <t>Gujarat</t>
  </si>
  <si>
    <t>Argentina, Australia, Austria, Belgium, Brazil, Cambodia, Canada, Chile, China, Ecuador, Ethiopia, Germany, Guyana, Hungary, India, Japan, Kazakhstan, Korea, Luxembourg, Malaysia, Mongolia, Myanmar, Namibia, Peru, Portugal, Recycled/Scrap, United States</t>
  </si>
  <si>
    <t>Himachal Pradesh</t>
  </si>
  <si>
    <t>India, Indonesia, Recycled/Scrap</t>
  </si>
  <si>
    <t>Democratic Republic of the Congo, India</t>
  </si>
  <si>
    <t>Liechtenstein</t>
  </si>
  <si>
    <t>Uttarakhand</t>
  </si>
  <si>
    <t>Tamil Nadu</t>
  </si>
  <si>
    <t>Recycled/Scrap</t>
  </si>
  <si>
    <t>CID004433</t>
  </si>
  <si>
    <t>KP Sanghvi International Airport</t>
  </si>
  <si>
    <t>Andi Pak</t>
  </si>
  <si>
    <t>premiumtinindonesia16@gmail.com</t>
  </si>
  <si>
    <t>Australia, Brazil, China, Indonesia, Malaysia, Mongolia, Myanmar, Peru, Spain, Vietnam</t>
  </si>
  <si>
    <t>Diana Budiani Rahmawati</t>
  </si>
  <si>
    <t>diana@pttimah.co.id</t>
  </si>
  <si>
    <t>Argentina, Australia, Austria, Belgium, Brazil, Cambodia, Canada, Chile, China, Colombia, Ecuador, Germany, Guyana, Hungary, India, Indonesia, Japan, Kazakhstan, Republic of Korea, Malaysia, Peru, Recycled/Scrap, South Africa, Switzerland, United States</t>
  </si>
  <si>
    <t>Komplek Industri dan Pelabuhan Air Kantung, Jelitik Kecamatan Sungailiat, Kabupaten Bangka, Propinsi Kepulauan Bangka Belitung</t>
  </si>
  <si>
    <t>Mr. Nazar</t>
  </si>
  <si>
    <t>nazar@msptin.co.id</t>
  </si>
  <si>
    <t>Jl. Ketapang RT.19/12 Kel. Air Itam Kec. Bukit Intan Pangkal Pinang Provinsi Kepulauan Kepulauan Bangka Belitung</t>
  </si>
  <si>
    <t>Santi</t>
  </si>
  <si>
    <t>primatimah@yahoo.com</t>
  </si>
  <si>
    <t>Argentina, Australia, Austria, Belgium, Brazil, Cambodia, Canada, Chile, China, Colombia, Ecuador, Ethiopia, Germany, Guyana, Hungary, India, Indonesia, Japan, Kazakhstan, Korea, Luxembourg, Malaysia, Mongolia, Myanmar, Namibia, Peru, Portugal, Taiwan, United States</t>
  </si>
  <si>
    <t>CID001460</t>
  </si>
  <si>
    <t>PT Refined Bangka Tin</t>
  </si>
  <si>
    <t>Jl. Kawasan Industri Jelitik, Kec. Sungailiat, Kab., Bangka, Provinsi Kepulauan, Kepulauan Bangka Belitung , Indonesia</t>
  </si>
  <si>
    <t>Andy Antofat</t>
  </si>
  <si>
    <t>andy.antofat@dominiontin.com</t>
  </si>
  <si>
    <t>Bangka and Belitung Island mine</t>
  </si>
  <si>
    <t>From Indonesia</t>
  </si>
  <si>
    <t>This smelter is RMI Conformant.
http://www.responsiblemineralsinitiative.org/tin-smelters-list/</t>
  </si>
  <si>
    <t>Hang Tuah Road No. 4 Prayun, Tanjung Balai Karimun regional,Kepulauan Riau Province</t>
  </si>
  <si>
    <t>Ahmad Fajri Akhinov</t>
  </si>
  <si>
    <t>ahmad.fajri@pttimah.co.id</t>
  </si>
  <si>
    <t>RAYA TIMAH ROAD NUMBER 1 MENTOK, WEST BANGKA, BANGKA BELITUNG ISLANDS PROVINCE</t>
  </si>
  <si>
    <t>Bangka &amp; Belitung Mines, PT Tambang Timah</t>
  </si>
  <si>
    <t>Kawasan Industri san Pelabuhan Jelitik Sunailiat, Kepulauan Bangka Belitung Province</t>
  </si>
  <si>
    <t>Mr. Sam Chandra</t>
  </si>
  <si>
    <t>sam@atdmmj.com</t>
  </si>
  <si>
    <t>JL. AIR MAWAR DALAM BUKIT INTAN, PANGKAL PINANG, PROPINSI BANGKA BELITUNG</t>
  </si>
  <si>
    <t>Mr. Hermanto</t>
  </si>
  <si>
    <t>hermanto.home@gmail.com</t>
  </si>
  <si>
    <t>Jl. Brigjen Katamso km 6 No 9 RT 005 / RW 001 Tajung Uncang, Kecamatan Batu Aji, Batam, Kepulauan Riau</t>
  </si>
  <si>
    <t>Soren Agustinus</t>
  </si>
  <si>
    <t>soren@ciptapersadamulia.co.id</t>
  </si>
  <si>
    <t>Australia, Brazil, Chile, China, India, Indonesia, Japan, Kazakhstan, Korea, Peru, Recycled/Scrap, Singapore, South Africa, United States</t>
  </si>
  <si>
    <t>Jalan Desa Air Mesu, Kecamatan Pangkalan Baru, Kabupaten Bangka Tengah, Kepulauan Bangka Belitung</t>
  </si>
  <si>
    <t>Andi Kurniawan</t>
  </si>
  <si>
    <t>Yoanbz_dahsyat@yahoo.com</t>
  </si>
  <si>
    <t>Jl. Ketapang Rt 01 Rw 01 Kelurahan Temberan Kecamatan Bukit Intan Kota Pangkalpinang</t>
  </si>
  <si>
    <t>INDONESIA. From Low Risk area defined by RMI</t>
  </si>
  <si>
    <t>Kawasan Industri Jelitik, Parit Padang, Sungailiat</t>
  </si>
  <si>
    <t>Eri Irwanto</t>
  </si>
  <si>
    <t>eri@puterasarana.com</t>
  </si>
  <si>
    <t>Putri Siregar</t>
  </si>
  <si>
    <t>arsedindonesia@gmail.com</t>
  </si>
  <si>
    <t>CID000309</t>
  </si>
  <si>
    <t>PT Aries Kencana Sejahtera</t>
  </si>
  <si>
    <t>Jl. Halmahera Dusun Sigambir, Desa Air Ruai, Kec. Pemali, Kab. Bangka, Kepulauan Kepulauan Bangka Belitung</t>
  </si>
  <si>
    <t>Pemali</t>
  </si>
  <si>
    <t>Regita</t>
  </si>
  <si>
    <t>arieskencanasejahtera@gmail.com</t>
  </si>
  <si>
    <t>Argentina, Australia, Austria, Belgium, Brazil, Cambodia, Canada, Chile, China, Colombia, Djibouti, Ecuador, Ethiopia, Germany, Guyana, Hungary, India, Indonesia, Japan, Kazakhstan, Korea, Luxembourg, Malaysia, Mongolia, Myanmar, Namibia, Peru, Portugal, Taiwan</t>
  </si>
  <si>
    <t>CID000315</t>
  </si>
  <si>
    <t>CV United Smelting</t>
  </si>
  <si>
    <t>CID001399</t>
  </si>
  <si>
    <t>PT Artha Cipta Langgeng</t>
  </si>
  <si>
    <t>Jl. TPA Lingkungan Kenanga Permai Kelurahan Kenanga, Kecamatan Sungailiat, Kabupaten Bangka, Propinsi Kepulauan Kepulauan Bangka Belitung</t>
  </si>
  <si>
    <t>Isa Suhardiman</t>
  </si>
  <si>
    <t>isa.suhardiman@gmail.com</t>
  </si>
  <si>
    <t>(Offshore) Penyusuk, Luar, Penyusuk Dalam, Simping &amp; (Onshore) Batu Rusa.</t>
  </si>
  <si>
    <t>Argentina, Austria, Belgium, Brazil, Cambodia, Canada, Chile, China, Colombia, Ecuador, Ethiopia, Germany, Guyana, Hungary, India, Indonesia, Japan, Kazakhstan, Korea, Luxembourg, Malaysia, Mongolia, Myanmar, Namibia, Niger, Peru, Portugal, Recycled/Scrap, Taiwan</t>
  </si>
  <si>
    <t>CID001402</t>
  </si>
  <si>
    <t>PT Babel Inti Perkasa</t>
  </si>
  <si>
    <t>Jl. Tengah Dusun Lintang RT.01/RW.01 Desa Lintang East Belitung, Kepulauan Bangka Belitung Province</t>
  </si>
  <si>
    <t>Lintang</t>
  </si>
  <si>
    <t>Venny K</t>
  </si>
  <si>
    <t>venny@imligroup.com</t>
  </si>
  <si>
    <t>CID001406</t>
  </si>
  <si>
    <t>PT Babel Surya Alam Lestari</t>
  </si>
  <si>
    <t>Jl.Manggar Tengah RT.016B/RW.005 Kelekak Datuk , Desa Badau - Kecamatan Badau</t>
  </si>
  <si>
    <t>Badau</t>
  </si>
  <si>
    <t>Rudy Sumarli</t>
  </si>
  <si>
    <t>babelsuryaalamlestari@gmail.com</t>
  </si>
  <si>
    <t>Belitung Island</t>
  </si>
  <si>
    <t>Argentina, Australia, Austria, Brazil, Canada, China, Ethiopia, Germany, Ghana, Guyana, India, Indonesia, Japan, Malaysia, Mexico, Mongolia, Namibia, Niger, Nigeria, Peru, Portugal, Recycled/Scrap, Sierra Leone, Spain, Thailand, United States, Zimbabwe</t>
  </si>
  <si>
    <t>CID001419</t>
  </si>
  <si>
    <t>PT Bangka Tin Industry</t>
  </si>
  <si>
    <t>Kabupaten Bangka</t>
  </si>
  <si>
    <t>CID001421</t>
  </si>
  <si>
    <t>PT Belitung Industri Sejahtera</t>
  </si>
  <si>
    <t>Dusun Gunung Tiong, Desa Pegantungan, Kecamatan Badau, Kabupaten Belitung, Kepulauan Bangka Belitung</t>
  </si>
  <si>
    <t>Belitung</t>
  </si>
  <si>
    <t>Janliman Suranta Sembiring</t>
  </si>
  <si>
    <t>belitungindustrisejahterapt@gmail.com</t>
  </si>
  <si>
    <t>Argentina, Austria, Belgium, Brazil, Cambodia, Canada, Chile, Colombia, Ecuador, Ethiopia, Germany, Guyana, Hungary, India, Japan, Kazakhstan, Korea, Luxembourg, Malaysia, Mongolia, Myanmar, Namibia, Peru, Portugal, Taiwan</t>
  </si>
  <si>
    <t>CID001428</t>
  </si>
  <si>
    <t>PT Bukit Timah</t>
  </si>
  <si>
    <t>Jalan Ketapang Kawasan Industri, Pangkalpinang 33111, Kepulauan Bangka Belitung, Indonesia</t>
  </si>
  <si>
    <t>Rosalinda Dwijayanti</t>
  </si>
  <si>
    <t>linda@imligroup.com</t>
  </si>
  <si>
    <t>Argentina, Austria, Belgium, Brazil, Cambodia, Canada, Chile, China, Colombia, Democratic Republic of Congo, Ecuador, Germany, Guyana, Hungary, India, Indonesia, Japan, Kazakhstan, Korea, Luxembourg, Malaysia, Mongolia, Myanmar, Namibia, Peru, Portugal, Recycled/Scrap, Slovakia, Taiwan</t>
  </si>
  <si>
    <t>CID001457</t>
  </si>
  <si>
    <t>PT Panca Mega Persada</t>
  </si>
  <si>
    <t>CID001463</t>
  </si>
  <si>
    <t>PT Sariwiguna Binasentosa</t>
  </si>
  <si>
    <t>Kawasan Industri Ketapang, JL Ketapang Raya, Kelurahan Air Mawar, Kecamatan Bukit Intan, Kota Pangkal Pinang, Kepulauan Kepulauan Bangka Belitung</t>
  </si>
  <si>
    <t>Juan Setiadi</t>
  </si>
  <si>
    <t>juan_setiadi@yahoo.co.uk</t>
  </si>
  <si>
    <t>PT Sinar Sejahtera Perkasa and PT Duta Nusa Gemilang</t>
  </si>
  <si>
    <t>Argentina, Austria, Belgium, Brazil, Cambodia, Canada, Chile, Colombia, Ecuador, Ethiopia, Germany, Guyana, Hungary, India, Indonesia, Japan, Kazakhstan, Korea, Luxembourg, Malaysia, Mongolia, Myanmar, Namibia, Peru, Portugal, Recycled/Scrap, Taiwan</t>
  </si>
  <si>
    <t>CID001468</t>
  </si>
  <si>
    <t>PT Stanindo Inti Perkasa</t>
  </si>
  <si>
    <t>Ketapang Kawasan Industri, Kecamatan Bukit Intan, Pangakal Pinang - Bangka 33116, Indonesia</t>
  </si>
  <si>
    <t>Bangka Island</t>
  </si>
  <si>
    <t>Argentina, Armenia, Austria, Belgium, Brazil, Cambodia, Canada, Chile, China, Colombia, Democratic Republic of Congo, Ecuador, Germany, Guyana, Hungary, India, Indonesia, Japan, Kazakhstan, Korea, Luxembourg, Malaysia, Mongolia, Mozambique, Myanmar, Namibia, Peru, Portugal, Recycled/Scrap</t>
  </si>
  <si>
    <t>CID001470</t>
  </si>
  <si>
    <t>CID001485</t>
  </si>
  <si>
    <t>PT Timah (Persero), Tbk</t>
  </si>
  <si>
    <t>CID001486</t>
  </si>
  <si>
    <t>PT Timah Nusantara</t>
  </si>
  <si>
    <t>Tempilang</t>
  </si>
  <si>
    <t>Argentina, Australia, Austria, Belgium, Brazil, Burundi, Cambodia, Canada, Chile, China, Colombia, Congo, Democratic Republic of Congo, Djibouti, Ecuador, Egypt, Estonia, Ethiopia, France, Germany, Guyana, Hungary, India, Indonesia, Ireland, Japan, Kazakhstan, Korea, Luxembourg, Malaysia, Mongolia, Myanmar, Niger, Nigeria, Portugal, Recycled/Scrap, Rwanda</t>
  </si>
  <si>
    <t>CID001490</t>
  </si>
  <si>
    <t>PT Tinindo Inter Nusa</t>
  </si>
  <si>
    <t>Jl. A Yani No. 46 Pangkalpinang, Kepulauan Bangka Belitung Province</t>
  </si>
  <si>
    <t>Angga</t>
  </si>
  <si>
    <t>angga@tinindo.com; edisonrs@yahoo.com</t>
  </si>
  <si>
    <t>Argentina, Austria, Belgium, Brazil, Cambodia, Canada, Chile, Colombia, Democratic Republic of Congo, Ecuador, Ethiopia, Germany, Guyana, Hungary, India, Indonesia, Japan, Kazakhstan, Korea, Luxembourg, Malaysia, Mongolia, Myanmar, Namibia, Peru, Portugal, Recycled/Scrap, Taiwan</t>
  </si>
  <si>
    <t>CID001493</t>
  </si>
  <si>
    <t>PT Tommy Utama</t>
  </si>
  <si>
    <t>Jl. Buje, RT X, Dsn Sumping, Desa Batu Penyu,</t>
  </si>
  <si>
    <t>Sumping Desa Batu Peyu</t>
  </si>
  <si>
    <t>Jopie Kawan</t>
  </si>
  <si>
    <t>agusjopiegunawan1688@gmail.com</t>
  </si>
  <si>
    <t>India, Indonesia</t>
  </si>
  <si>
    <t>CID002455</t>
  </si>
  <si>
    <t>CV Venus Inti Perkasa</t>
  </si>
  <si>
    <t>Jl. TPI Kawasan Industri Ketapang, Pangkal Pinang, Sumatera Selatan, Indonesia</t>
  </si>
  <si>
    <t>Ghina Q</t>
  </si>
  <si>
    <t>ghina.qtrnnada@gmail.com</t>
  </si>
  <si>
    <t>Argentina, Australia, Austria, Belgium, Brazil, Cambodia, Canada, Chile, China, Colombia, Congo, Djibouti, Ecuador, Egypt, Estonia, Ethiopia, France, Germany, Guyana, Hungary, India, Indonesia, Japan, Mexico, Peru, Recycled/Scrap, Suriname, Switzerland</t>
  </si>
  <si>
    <t>CID002478</t>
  </si>
  <si>
    <t>PT Tirus Putra Mandiri</t>
  </si>
  <si>
    <t>Bogor</t>
  </si>
  <si>
    <t>China, Indonesia</t>
  </si>
  <si>
    <t>CID002570</t>
  </si>
  <si>
    <t>CV Ayi Jaya</t>
  </si>
  <si>
    <t>Jl Kawasan Industri dan Pelabuhan Umum Jelitik, Sungai Liat, Kepulauan Bangka Belitung, Indonesia</t>
  </si>
  <si>
    <t>Farica Elrica</t>
  </si>
  <si>
    <t>Cvayijaya.tinsmelting@gmail.com</t>
  </si>
  <si>
    <t>Argentina, Australia, Austria, Belgium, Brazil, Cambodia, Canada, Chile, China, Ecuador, Ethiopia, Germany, Guyana, Hungary, India, Indonesia, Japan, Kazakhstan, Korea, Luxembourg, Malaysia, Mongolia, Myanmar, Namibia, Peru, Portugal, Recycled/Scrap, Russian Federation, Taiwan</t>
  </si>
  <si>
    <t>CID002816</t>
  </si>
  <si>
    <t>PT Sukses Inti Makmur (SIM)</t>
  </si>
  <si>
    <t>Jl. Raya Petikan RT 007 / RW 03. Dusun Petikan, Desa Sungai Samak. Kecamatan Badau, Kapubaten Belitung, Indonesia</t>
  </si>
  <si>
    <t>Temmy Njoto</t>
  </si>
  <si>
    <t>temmy.njoto@gmail.com</t>
  </si>
  <si>
    <t>Argentina, Australia, Austria, Belgium, Brazil, Cambodia, Canada, Chile, China, Colombia, Djibouti, Ecuador, Egypt, Estonia, Ethiopia, France, Germany, Guyana, Hungary, India, Indonesia, Ireland, Israel, Japan, Kazakhstan, Korea, Luxembourg, Malaysia, Mongolia, Myanmar, Namibia, Peru, Portugal, Recycled/Scrap, Taiwan</t>
  </si>
  <si>
    <t>CID002835</t>
  </si>
  <si>
    <t>PT Menara Cipta Mulia</t>
  </si>
  <si>
    <t>Dusun Padang RT07, Desa Mentawak, Kecamatan Kelapa Kampit, Provinsi Kepulauan Kepulauan Bangka Belitung, Indonesia</t>
  </si>
  <si>
    <t>Mentawak</t>
  </si>
  <si>
    <t xml:space="preserve">PT Menara Cipta Mulia, Kampit </t>
  </si>
  <si>
    <t>Argentina, Australia, Brazil, China, Colombia, Germany, India, Indonesia, Ireland, Malaysia, Mongolia, Myanmar, Niger, Nigeria, Peru, Portugal, Recycled/Scrap, Russian Federation, Thailand, United Kingdom, Viet Nam, Zimbabwe</t>
  </si>
  <si>
    <t>CID003205</t>
  </si>
  <si>
    <t xml:space="preserve">PT Bangka Serumpun	</t>
  </si>
  <si>
    <t>PT Bangka Serumpun</t>
  </si>
  <si>
    <t>Argentina, Australia, Austria, Belgium, Brazil, Cambodia, Canada, Chile, China, Colombia, Ecuador, Ethiopia, France, Germany, Guyana, Hungary, India, Indonesia, Japan, Kazakhstan, Korea, Luxembourg, Malaysia, Mongolia, Myanmar, Namibia, Peru, Portugal</t>
  </si>
  <si>
    <t>CID003380</t>
  </si>
  <si>
    <t>PT Masbro Alam Stania</t>
  </si>
  <si>
    <t>CID003381</t>
  </si>
  <si>
    <t>PT Rajawali Rimba Perkasa</t>
  </si>
  <si>
    <t>Desa Pasir Putih, Kecamatan Tukak Sadai, Kabupaten Bangka Selatan, Bangka Belitung</t>
  </si>
  <si>
    <t>Tukak Sadai</t>
  </si>
  <si>
    <t>Danny Widjaya</t>
  </si>
  <si>
    <t>rajawalirimbaperkasa@gmail.com</t>
  </si>
  <si>
    <t>Argentina, Australia, Austria, Brazil, Canada, China, Ethiopia, Germany, Guyana, India, Indonesia, Japan, Malaysia, Mongolia, Namibia, Niger, Nigeria, Peru, Portugal, Recycled/Scrap, Sierra Leone, Spain, Switzerland, Thailand, United States, Zimbabwe</t>
  </si>
  <si>
    <t>CID004685</t>
  </si>
  <si>
    <t>PT Mitra Graha Raya</t>
  </si>
  <si>
    <t>Giovanni Prelazzi</t>
  </si>
  <si>
    <t>giovanni.prelazzi@chimet.com</t>
  </si>
  <si>
    <t>Andorra, Australia, Brazil, Canada, Chile, China, Germany, Hong Kong, India, Indonesia, Italy, Japan, Republic of Korea, Mexico, Peru, Recycled/Scrap, South Africa, Switzerland, Turkey, United Kingdom, United States</t>
  </si>
  <si>
    <t>Capolona, Italy</t>
  </si>
  <si>
    <t>tcaspa@tcaspa.com</t>
  </si>
  <si>
    <t>Argentina, Australia, Austria, Belgium, Brazil, Cambodia, Canada, Chile, China, Colombia, Ecuador, Germany, Guinea, Guyana, Hungary, India, Indonesia, Italy, Japan, Kazakhstan, Republic of Korea, Luxembourg, Malaysia, Mexico, Mongolia, Namibia, Panama, Papua New Guinea, Peru, Recycled/Scrap, Singapore, Slovakia, Spain, Suriname, United States, Uzbekistan, Andorra, Bolivia (Plurinational State of), Brazil, Canada, China, Japan, Malaysia, Netherlands, Philippines, Recycled/Scrap, Spain, Thailand, Recycled/Scrap, United Arab Emirates</t>
  </si>
  <si>
    <t>Strada A, 32 – Loc. San Zeno 52100 Arezzo</t>
  </si>
  <si>
    <t>Filippo Finocchi</t>
  </si>
  <si>
    <t>filippo.finocchi@italpreziosi.it</t>
  </si>
  <si>
    <t>Not disclosed per RJC/LBMA</t>
  </si>
  <si>
    <t>Australia, Austria, Belgium, Canada, China, Dominica, France, Germany, Hong Kong, Indonesia, Italy, Japan, Malaysia, Mexico, Mongolia, Mozambique, Philippines, Recycled/Scrap, South Africa, Sweden, Switzerland, United Kingdom, United States</t>
  </si>
  <si>
    <t>Australia, Austria, Brazil, Canada, China, Germany, Hong Kong, Italy, Jersey, Liechtenstein, Malaysia, Mexico, Mongolia, Mozambique, Philippines, Recycled/Scrap, South Africa</t>
  </si>
  <si>
    <t>Argentina, Brazil, Canada, Chile, Colombia, Ecuador, Indonesia, Malaysia, Mexico, Mongolia, Peru, Suriname, Sweden, Tanzania, United States</t>
  </si>
  <si>
    <t>2, Iwase-Koshi-Machi, Toyama City, Toyama 931-8543 Japan</t>
  </si>
  <si>
    <t>Tsukasa Kawakatsu</t>
  </si>
  <si>
    <t>tsukasa-kawakatsu@allied-material.co.jp</t>
  </si>
  <si>
    <t>Australia, Austria, Brazil, Burundi, China, Congo, Democratic Republic of the Congo, Germany, India, Ireland, Israel, Japan, Kazakhstan, Republic of Korea, Malaysia, Mongolia, Myanmar, Netherlands, Niger, Nigeria, Portugal, Russian Federation, Rwanda, Singapore, Spain, Thailand, United Kingdom, United States, Vietnam</t>
  </si>
  <si>
    <t>6-15-13 Minami-cho, Fuchu-shi, Tokyo, 1830026 Japan</t>
  </si>
  <si>
    <t>Mr. Saijyo</t>
  </si>
  <si>
    <t>nsaijyo@aida-j.jp</t>
  </si>
  <si>
    <t>Australia, Benin, Bolivia (Plurinational State of), Burkina Faso, Canada, Chile, Colombia, Ecuador, Ghana, Guatemala, Guinea, Guyana, Honduras, Indonesia, Japan, Mali, Nicaragua, Panama, Peru, Portugal, Recycled/Scrap, Spain, United States</t>
  </si>
  <si>
    <t>Soka, Saitama, Japan</t>
  </si>
  <si>
    <t>Tatsuto Nagata</t>
  </si>
  <si>
    <t>shizai@ifk.co.jp</t>
  </si>
  <si>
    <t>Mineral R/S and mining not disclosed by LBMA</t>
  </si>
  <si>
    <t>Sapia Tower 11F, 1-7-12 Marunouchi, Chiyoda-ku, Tokyo, 100-0005, Japan</t>
  </si>
  <si>
    <t>Kobe</t>
  </si>
  <si>
    <t>Takatsugu Motoki</t>
  </si>
  <si>
    <t>t-motoki@asahipretec.com</t>
  </si>
  <si>
    <t>Argentina, Australia, Austria, Belgium, Brazil, Cambodia, Canada, Chile, China, Colombia, Ecuador, Egypt, Estonia, France, Germany, Guinea, Guyana, Hong Kong, Hungary, India, Indonesia, Ireland, Israel, Japan, Kazakhstan, Republic of Korea, Luxembourg, Malaysia, Mexico, Mongolia, Namibia, Netherlands, Niger, Nigeria, Panama, Papua New Guinea, Peru, Portugal, Recycled/Scrap, Russian Federation, Singapore, Slovakia, Spain, Suriname, Switzerland, Thailand, United Kingdom, United States, Uzbekistan, Vietnam</t>
  </si>
  <si>
    <t>Yoshimasa Uozumi</t>
  </si>
  <si>
    <t>cyuozumi@asaka.co.jp</t>
  </si>
  <si>
    <t>Recycled/Scrap, Japan, Mozambique, Niger, Nigeria, Burundi, Armenia, Mexico, Rwanda, Argentina, Austria, Brazil, Cambodia, Chile, Colombia, Ecuador, Guyana, Kazakhstan, Korea, Luxembourg, Malaysia, Mongolia, Myanmar, Portugal, Hungary, India, Belgium, Canada, Ethiopia, Namibia, Peru, United States, Angola, Indonesia, Germany, China, Egypt, Madagascar, Sierra Leone, Singapore, Thailand, Australia, Djibouti, Estonia, France, Ireland, Israel, Netherlands, Slovakia, Spain, Suriname, Switzerland, United Kingdom, Zimbabwe, Central African Republic, South Africa, South Sudan, Sudan, Tanzania, Zambia, Kenya, Uganda, Panama</t>
  </si>
  <si>
    <t>Mr. Futoshi Sasaki</t>
  </si>
  <si>
    <t>info@chugaikogyo.co.jp</t>
  </si>
  <si>
    <t>Argentina, Australia, Austria, Brazil, Canada, Chile, China, Germany, Guyana, India, Indonesia, Japan, Kazakhstan, Malaysia, Mongolia, Namibia, Niger, Nigeria, Panama, Peru, Poland, Portugal, Recycled/Scrap, Turkey, United States</t>
  </si>
  <si>
    <t>60-1 Otarube, Kosaka-machi, Kazuno-gun, Akita 017-0202 Japan</t>
  </si>
  <si>
    <t>Kishu Okuda</t>
  </si>
  <si>
    <t>okudak@dowa.co.jp</t>
  </si>
  <si>
    <t>Argentina, Australia, Austria, Belgium, Brazil, Cambodia, Canada, Chile, China, Colombia, Ecuador, Egypt, Estonia, France, Germany, Guyana, Hong Kong, Hungary, India, Indonesia, Ireland, Israel, Japan, Kazakhstan, Republic of Korea, Luxembourg, Malaysia, Mexico, Mongolia, Namibia, Netherlands, Niger, Nigeria, Panama, Peru, Philippines, Portugal, Recycled/Scrap, Russian Federation, Singapore, Slovakia, Spain, Suriname, Switzerland, Thailand, United Kingdom, United States, Vietnam, Zimbabwe</t>
  </si>
  <si>
    <t>Argentina, Austria, Belgium, Brazil, Canada, Chile, Germany, Hungary, India, Japan, Luxembourg, Malaysia, Peru, Portugal, Republic of Korea</t>
  </si>
  <si>
    <t>Kohei Shinoda</t>
  </si>
  <si>
    <t>shinodak@dowa.co.jp</t>
  </si>
  <si>
    <t>Mineral sourcing R/S based on RMAP-RMI's RCOI data</t>
  </si>
  <si>
    <t>Osaka, Kansai, Japan</t>
  </si>
  <si>
    <t>pub@mint.go.jp</t>
  </si>
  <si>
    <t>Mineral sourcing not disclosed by LBMA and RJC</t>
  </si>
  <si>
    <t>Mr. Akira Kawaguchi</t>
  </si>
  <si>
    <t>akawaguc@jnm.co.jp</t>
  </si>
  <si>
    <t>Australia, Austria, Brazil, China, Germany, India, Ireland, Israel, Japan, Kazakhstan, Republic of Korea, Malaysia, Mongolia, Myanmar, Netherlands, Niger, Nigeria, Portugal, Russian Federation, Spain, Thailand, United Kingdom, United States, Vietnam</t>
  </si>
  <si>
    <t>Saganoseki, Kitaamabe District, Oita Prefecture, Japan</t>
  </si>
  <si>
    <t>Ryosuke Tawara</t>
  </si>
  <si>
    <t>r_tawara@ppcu.co.jp</t>
  </si>
  <si>
    <t>From Collahuasi, Los Pelambres, Escondida, Collahuasi, Cadia</t>
  </si>
  <si>
    <t>Mineral R/S and mining from Australia and Chile</t>
  </si>
  <si>
    <t>337-26 Kashiwabara, Sayama City, Saitama Prefecture, 350-1335 Japan</t>
  </si>
  <si>
    <t>Ms. Maiko Kobayashi</t>
  </si>
  <si>
    <t>maiko.kobayashi@kojima-c.co.jp</t>
  </si>
  <si>
    <t>Argentina, Australia, Austria, Belgium, Brazil, Cambodia, Canada, Chile, China, Colombia, Ecuador, Egypt, Estonia, France, Germany, Guyana, Hungary, India, Indonesia, Ireland, Israel, Japan, Kazakhstan, Republic of Korea, Luxembourg, Malaysia, Mongolia, Namibia, Netherlands, Niger, Nigeria, Panama, Peru, Portugal, Recycled/Scrap, Russian Federation, Singapore, Slovakia, Spain, Suriname, Switzerland, Thailand, United Kingdom, United States, Vietnam</t>
  </si>
  <si>
    <t>Iruma, Saitama, Japan</t>
  </si>
  <si>
    <t>Mr. Takashi Yamanoi</t>
  </si>
  <si>
    <t>yamanoi-t@matsuda-sangyo.co.jp; hinshou@matsuda-sangyo.co.jp</t>
  </si>
  <si>
    <t>Argentina, Australia, Austria, Belgium, Brazil, Cambodia, Canada, Chile, China, Colombia, Ecuador, Egypt, Estonia, France, Germany, Guyana, Hong Kong, Hungary, India, Indonesia, Ireland, Israel, Japan, Kazakhstan, Republic of Korea, Luxembourg, Malaysia, Mongolia, Namibia, Netherlands, Niger, Nigeria, Panama, Peru, Portugal, Recycled/Scrap, Singapore, Slovakia, Spain, Suriname, Switzerland, Thailand, United Kingdom, United States</t>
  </si>
  <si>
    <t>Mr. Tadakazu Kagami</t>
  </si>
  <si>
    <t>tkagami@mmc.co.jp</t>
  </si>
  <si>
    <t>Argentina, Australia, Austria, Brazil, Canada, Chile, China, Congo, Democratic Republic of the Congo, Guinea, Hong Kong, India, Indonesia, Japan, Republic of Korea, Mexico, Mongolia, Panama, Papua New Guinea, Peru, Recycled/Scrap, Russian Federation, United Kingdom, United States</t>
  </si>
  <si>
    <t>Marunouchi Nijubashi Building 3-2-3, Marunouchi, Chiyoda-ku, Tokyo 100-8117, Japan</t>
  </si>
  <si>
    <t>Recycled/Scrap, Japan, Indonesia, Guinea, Papua New Guinea, Canada, Argentina, Chile, China, Peru, Australia, Panama</t>
  </si>
  <si>
    <t>Mitsui Mining and Smelting Co., Ltd., 2081 Tosen, Oomuta, Fukuoka, Japan</t>
  </si>
  <si>
    <t>Mr. Tatsuyoshi Sakada</t>
  </si>
  <si>
    <t>sakada@mitsui-kinzoku.com</t>
  </si>
  <si>
    <t>Brazil, Burundi, Canada, China, Democratic Republic of the Congo, El Salvador, Estonia, Ethiopia, France, Germany, Hong Kong, India, Indonesia, Ireland, Israel, Japan, Republic of Korea, Mexico, Mozambique, Niger, Nigeria, Recycled/Scrap, Russian Federation, Rwanda, Singapore, Thailand, United Kingdom, United States</t>
  </si>
  <si>
    <t>Takehara, Hiroshima, Japan</t>
  </si>
  <si>
    <t>Noda Factory,  19-2 Hayama Nodi-si Chiba-ken, Japan</t>
  </si>
  <si>
    <t>Mr. Nobutake Morita</t>
  </si>
  <si>
    <t>n.morita@material.co.jp</t>
  </si>
  <si>
    <t>Australia, Bolivia (Plurinational State of), Brazil, Canada, Chile, China, Congo, Democratic Republic of the Congo, Indonesia, Japan, Kyrgyzstan, Malaysia, Niger, Nigeria, Panama, Peru, Portugal, Recycled/Scrap, Spain, Switzerland, Thailand</t>
  </si>
  <si>
    <t>Ohura Soichiro</t>
  </si>
  <si>
    <t>ohura.soichiro@ohura.co.jp</t>
  </si>
  <si>
    <t>Argentina, Austria, Belgium, Brazil, Cambodia, Canada, Chile, China, Colombia, Ecuador, Ethiopia, Germany, Guyana, Hungary, India, Japan, Kazakhstan, Korea, Luxembourg, Malaysia, Mongolia, Myanmar, Namibia, Peru, Portugal, Recycled/Scrap, South Africa, Taiwan</t>
  </si>
  <si>
    <t>Toyo, Saijo, Japan</t>
  </si>
  <si>
    <t>Akira Nozaki; Seiji Kaneko</t>
  </si>
  <si>
    <t>Funsokobutsu_Kin_Kinzoku@ni.smm.co.jp (Akira Nozaki); seiji_kaneko@ni.smm.co.jp (Seiji Kaneko)</t>
  </si>
  <si>
    <t>Recycling and Pogo Mine, Morenci Mine, Candelaria Mine, Cerro Verde Mine, Ojos del Salado Copper Mine, Batu Hijau Mine, Northparkes Mine, Hishikari Mine</t>
  </si>
  <si>
    <t>Argentina, Australia, Canada, Chile, China, Guinea, Hong Kong, India, Indonesia, Japan, Republic of Korea, Panama, Papua New Guinea, Peru, Philippines, Recycled/Scrap, United States</t>
  </si>
  <si>
    <t>Taki Chemical Co. Ltd., 346, Miyanishi, Harima-Cho, Kako-gun, Hyogo-ken, 675-0145, Japan</t>
  </si>
  <si>
    <t>Mr. Yukihiko Yoshimi</t>
  </si>
  <si>
    <t>yoshimi@takichem.co.jp</t>
  </si>
  <si>
    <t>Canada, China, Estonia, France, Germany, Hong Kong, India, Indonesia, Ireland, Israel, Japan, Republic of Korea, Recycled/Scrap, Russian Federation, Singapore, Thailand, United Kingdom, United States</t>
  </si>
  <si>
    <t>This smelter is RMI Conformant.
http://www.responsiblemineralsinitiative.org/tantalum-smelters-list/</t>
  </si>
  <si>
    <t>Nagatoro2-14</t>
  </si>
  <si>
    <t>Ken Oka</t>
  </si>
  <si>
    <t>k-oka@ml.tanaka.co.jp</t>
  </si>
  <si>
    <t>Australia, Belgium, Brazil, Canada, Chile, China, Hong Kong, Indonesia, Japan, Kazakhstan, Malaysia, Mexico, Panama, Peru, Recycled/Scrap, Singapore, South Africa, Switzerland, United Kingdom, United States, Uzbekistan</t>
  </si>
  <si>
    <t>Kuki, Saitama, Japan</t>
  </si>
  <si>
    <t>Naoji Yamada</t>
  </si>
  <si>
    <t>nao-yamada@tokuriki-kanda.co.jp</t>
  </si>
  <si>
    <t>Argentina, Australia, Austria, Belgium, Brazil, Cambodia, Canada, Chile, China, Germany, Hong Kong, Indonesia, Japan, Republic of Korea, Panama, Peru, Portugal, Recycled/Scrap, Russian Federation, United States</t>
  </si>
  <si>
    <t>1090-3 Otani, Kamibun, Kagami-cho, Konan-shi</t>
  </si>
  <si>
    <t>Hiroyuki Itoigawa</t>
  </si>
  <si>
    <t>itoigawa@yamakin-gold.co.jp</t>
  </si>
  <si>
    <t>Argentina, Australia, Austria, Belgium, Brazil, Canada, Chile, China, Colombia, Ecuador, Germany, Guyana, India, Indonesia, Japan, Malaysia, Mexico, Mongolia, Panama, Peru, Portugal, Recycled/Scrap, Switzerland, United States</t>
  </si>
  <si>
    <t>Yusuke Sakai</t>
  </si>
  <si>
    <t>sakai@mail.yk-metal.co.jp</t>
  </si>
  <si>
    <t>Argentina, Austria, Brazil, Cambodia, Canada, Chile, China, Colombia, Democratic Republic of the Congo, Ecuador, Ghana, Guyana, Hungary, Japan, Kazakhstan, Republic of Korea, Luxembourg, Malaysia, Mali, Mongolia, Panama, Portugal, Recycled/Scrap, Spain</t>
  </si>
  <si>
    <t>No. 9 Industrial Park, Hitachi Ohmiya-city, Ibaraki Pref., Japan</t>
  </si>
  <si>
    <t>From Australia, Bolivia, Brazil, Burundi, Democratic Republic of Congo, Ethiopia, India, Mozambique, Namibia, Nigeria, Rwanda, Sierra Leone, Zimbabwe</t>
  </si>
  <si>
    <t>Aizuwakamatsu, Fukushima, Japan</t>
  </si>
  <si>
    <t>Jean-Paul Meutcheho</t>
  </si>
  <si>
    <t>JMeutcheho@globaladvancedmetals.com</t>
  </si>
  <si>
    <t>Sugisawa-96 Kosakakozan, Kosaka-machi, Kazuno-gun, Akita-ken, 017-0202</t>
  </si>
  <si>
    <t>Mr. Yoshihiko Hoshikawa</t>
  </si>
  <si>
    <t>hoshikay@dowa.co.jp</t>
  </si>
  <si>
    <t>Brazil, Japan, Panama, Recycled/Scrap, Thailand</t>
  </si>
  <si>
    <t>1 Chome-3-1 Kaigandori, Minami-ku, Okayama-shi, Okayama-ken 702-8506 / West Plant is in Okayama</t>
  </si>
  <si>
    <t>Hiroaki Mizobuchi</t>
  </si>
  <si>
    <t>h_mizobuchi@mitsui-kinzoku.com</t>
  </si>
  <si>
    <t>JAPAN. Recycled/Scrap Only</t>
  </si>
  <si>
    <t>CID001112</t>
  </si>
  <si>
    <t>Materials Eco-Refining Co., Ltd.</t>
  </si>
  <si>
    <t>CID001195</t>
  </si>
  <si>
    <t>CID001801</t>
  </si>
  <si>
    <t>Ust-Kamenogorsk, Kazakhstan</t>
  </si>
  <si>
    <t>kazzinc@kazzinc.com</t>
  </si>
  <si>
    <t>Australia, Brazil, Canada, Chile, China, Indonesia, Japan, Kazakhstan, Republic of Korea, Niger, Nigeria, Peru, Recycled/Scrap, Singapore, Switzerland, United States</t>
  </si>
  <si>
    <t>Ulba Metallurgical Plant JSC, 102, Abay Ave., 070005, Ust-Kamenogorsk, Republic of Kazakhstan</t>
  </si>
  <si>
    <t>Valerie Domas</t>
  </si>
  <si>
    <t>DomasVV@ulba.kz</t>
  </si>
  <si>
    <t>Scrap, and Kahendwa, Katonge, Kisengo, Kiyambi, Luena,Bitango,  Shori mines</t>
  </si>
  <si>
    <t>Angola, Argentina, Australia, Austria, Brazil, Cambodia, Chile, Colombia, Democratic Republic of Congo, Ecuador, Ethiopia, Guyana, Hungary, India, Japan, Kazakhstan, Korea, Luxembourg, Malaysia, Mongolia, Mozambique, Myanmar, Portugal, Recycled/Scrap, Rwanda, Sierra Leone, South Sudan, Sudan, Tanzania, United States, Zambia, Zimbabwe</t>
  </si>
  <si>
    <t>A194 Street, house 1 Industrial Park Astana city, Almaty Region Republic of Kasakhstan</t>
  </si>
  <si>
    <t>Zhanas Muratbek</t>
  </si>
  <si>
    <t>admin@taukenaltyn.kz</t>
  </si>
  <si>
    <t>Austria, Estonia, Kazakhstan, Recycled/Scrap, Vietnam</t>
  </si>
  <si>
    <t>China, Japan, Kazakhstan, Kyrgyzstan, Recycled/Scrap</t>
  </si>
  <si>
    <t>Ms. Kang Ju Hyun</t>
  </si>
  <si>
    <t>do2845@chol.com</t>
  </si>
  <si>
    <t>Australia, Brazil, China, Germany, Japan, Kazakhstan, Korea, Panama, Recycled/Scrap, Saudi Arabia, South Africa, Taiwan</t>
  </si>
  <si>
    <t>98-13, Geonji-ro, Seo-gu, Incheon, Korea</t>
  </si>
  <si>
    <t>Mr. KW Song</t>
  </si>
  <si>
    <t>kwsong@ltmetal.co.kr</t>
  </si>
  <si>
    <t>Argentina, Australia, Austria, Brazil, Canada, Chile, China, Colombia, Ecuador, Germany, Guyana, India, Indonesia, Japan, Republic of Korea, Malaysia, Mexico, Mongolia, Namibia, Peru, Recycled/Scrap, South Africa, Switzerland, United Kingdom, United States</t>
  </si>
  <si>
    <t>Onsan, Republic of Korea</t>
  </si>
  <si>
    <t>Jeong Hoon Shin</t>
  </si>
  <si>
    <t>jhshin@lsnikko.com</t>
  </si>
  <si>
    <t>Argentina, Australia, Austria, Belgium, Brazil, Cambodia, Canada, Chile, China, Colombia, Ecuador, Guyana, Hong Kong, Hungary, India, Indonesia, Japan, Kazakhstan, Republic of Korea, Mexico, Peru, Recycled/Scrap, Singapore, South Africa, Thailand, United States</t>
  </si>
  <si>
    <t>Young Poong B/D 142 Nonhyeon-dong, Gangnam-gu, Seoul</t>
  </si>
  <si>
    <t>Koohoi Kim</t>
  </si>
  <si>
    <t>khoikim@koreazinc.co.kr</t>
  </si>
  <si>
    <t>Australia, Benin, Brazil, Burkina Faso, Canada, Chile, China, Colombia, France, Guatemala, Guinea, Guyana, Honduras, Indonesia, Ireland, Japan, Republic of Korea, Malaysia, Mali, Niger, Panama, Peru, Portugal, Recycled/Scrap, Spain, Thailand, Turkey, United States, Uzbekistan</t>
  </si>
  <si>
    <t>143-15(Bieungdo-dong) Gunsansandan-ro, Gunsan-si, Jeollabuk-do, Korea, 573-450</t>
  </si>
  <si>
    <t>Ho Sang Yoon</t>
  </si>
  <si>
    <t>nayoon@sungeel.com</t>
  </si>
  <si>
    <t>Australia, Austria, Belgium, Brazil, Canada, Chile, China, Colombia, Egypt, France, Germany, Hungary, India, Indonesia, Ireland, Israel, Japan, Republic of Korea, Luxembourg, Malaysia, Netherlands, Niger, Nigeria, Peru, Portugal, Recycled/Scrap, Singapore, Slovakia, Spain, Switzerland, Thailand, United Kingdom, United States</t>
  </si>
  <si>
    <t>350-3 Hyeondeok-ro, Hyendeok-myeon, Pyeongtaek-si, Gyeonggi-do, 17969</t>
  </si>
  <si>
    <t>Kim Kang Hoon</t>
  </si>
  <si>
    <t>kanghoon119@naver.com</t>
  </si>
  <si>
    <t>Republic of Korea, Recycled/Scrap</t>
  </si>
  <si>
    <t>Australia, Canada, China, Hong Kong, Japan, Republic of Korea, Mexico, Recycled/Scrap, South Africa, United States</t>
  </si>
  <si>
    <t>Australia, Bolivia (Plurinational State of), Brazil, Canada, China, Eritrea, Ethiopia, Germany, India, Indonesia, Japan, Republic of Korea, Mozambique, Namibia, Recycled/Scrap, Rwanda, Sierra Leone, Spain, Sweden, Thailand, United States, Zimbabwe</t>
  </si>
  <si>
    <t>Australia, Canada, China, Hong Kong, Indonesia, Korea, Recycled/Scrap, Sweden</t>
  </si>
  <si>
    <t>180 Unyong-ri, Dunpo-myeon, Asan-si, Chungcheongnam-do, South Korea</t>
  </si>
  <si>
    <t>Mr. JeUk You</t>
  </si>
  <si>
    <t>juyou@torecom.co.kr</t>
  </si>
  <si>
    <t>Brazil, Canada, Chile, China, Indonesia, Japan, Republic of Korea, Malaysia, Mexico, Peru, Philippines, Recycled/Scrap, Switzerland</t>
  </si>
  <si>
    <t>CID003388</t>
  </si>
  <si>
    <t>KGETS Co., Ltd.</t>
  </si>
  <si>
    <t>Siheung-si</t>
  </si>
  <si>
    <t>Australia, Brazil, Japan, Republic of Korea, Kyrgyzstan, Panama, Recycled/Scrap</t>
  </si>
  <si>
    <t>Democratic Republic of Congo, Lithuania, Recycled/Scrap</t>
  </si>
  <si>
    <t>Wong Kin Nyap</t>
  </si>
  <si>
    <t>wong.kn@msmelt.com</t>
  </si>
  <si>
    <t>DRC, RWANDA, NIGERIA, AUSTRALIA, MALAYSIA, BRAZIL,</t>
  </si>
  <si>
    <t>CID001108</t>
  </si>
  <si>
    <t>CID001136</t>
  </si>
  <si>
    <t>Metahub Industries Sdn. Bhd.</t>
  </si>
  <si>
    <t>China, Germany, Malaysia, Netherlands, New Zealand, Philippines, Recycled/Scrap, Thailand</t>
  </si>
  <si>
    <t>Ãland Islands, China, Malaysia, Recycled/Scrap</t>
  </si>
  <si>
    <t>CID003581</t>
  </si>
  <si>
    <t>Rian Resources SDN. BHD.</t>
  </si>
  <si>
    <t>Bandar Indahpura</t>
  </si>
  <si>
    <t>Kulai</t>
  </si>
  <si>
    <t>CID003540</t>
  </si>
  <si>
    <t>Sellem Industries Ltd.</t>
  </si>
  <si>
    <t>Nouakchott</t>
  </si>
  <si>
    <t>Torreon, Coahuila, Mexico</t>
  </si>
  <si>
    <t>Celia Ortega</t>
  </si>
  <si>
    <t>Celia_Ortega@penoles.com.mx</t>
  </si>
  <si>
    <t>Mineral sourcing not disclosed by LBMA</t>
  </si>
  <si>
    <t>Carlos Salazar 15, 87380, Matamoros, Tamaulipas, Mexico</t>
  </si>
  <si>
    <t>Carlota Garza</t>
  </si>
  <si>
    <t>carlota.garza@yageo.com</t>
  </si>
  <si>
    <t>Australia, Brazil, Burundi, Canada, China, Congo, Democratic Republic of the Congo, Estonia, Ethiopia, France, Germany, India, Indonesia, Ireland, Israel, Japan, Republic of Korea, Madagascar, Mexico, Mozambique, Niger, Nigeria, Recycled/Scrap, Russian Federation, Rwanda, Sierra Leone, Singapore, Spain, Thailand, United Kingdom, United States</t>
  </si>
  <si>
    <t>Chile, China, Germany, Japan, Korea, Mexico, Recycled/Scrap</t>
  </si>
  <si>
    <t>Australia, Bermuda, Canada, Chile, China, Indonesia, Malaysia, Morocco, Myanmar, Peru, Recycled/Scrap, United States, Uzbekistan</t>
  </si>
  <si>
    <t>CID003831</t>
  </si>
  <si>
    <t>DS Myanmar</t>
  </si>
  <si>
    <t>LOT No. BL-1, ZONE B, THILAWA SPECIAL ECONOMIC ZONE, YANGON, MYANMAR</t>
  </si>
  <si>
    <t>Park Chan Sik</t>
  </si>
  <si>
    <t>pcs454@oneduksan.com</t>
  </si>
  <si>
    <t>Eastern Ming, Aung Pyi San</t>
  </si>
  <si>
    <t>From Thaninthari, Myanmar</t>
  </si>
  <si>
    <t>Middenweg 7, 4782 PM Moerdijk, Netherlands</t>
  </si>
  <si>
    <t>Tobias Schmiemann</t>
  </si>
  <si>
    <t>Tobias.Schmiemann@remondis-argentia.nl</t>
  </si>
  <si>
    <t>Andorra, Bolivia (Plurinational State of), Brazil, Canada, China, Japan, Malaysia, Netherlands, Philippines, Recycled/Scrap, Spain, Thailand</t>
  </si>
  <si>
    <t>Andorra, India, Japan, New Zealand, Recycled/Scrap, United States</t>
  </si>
  <si>
    <t>Hedmarken</t>
  </si>
  <si>
    <t>Norway, Rwanda</t>
  </si>
  <si>
    <t>Paracas, Ika</t>
  </si>
  <si>
    <t>Mr. Jose Ore Rivera</t>
  </si>
  <si>
    <t>Jose.Ore@minsur.com</t>
  </si>
  <si>
    <t>San Rafael</t>
  </si>
  <si>
    <t>Argentina, Austria, Belgium, Brazil, Cambodia, Canada, Chile, China, Colombia, Ecuador, Ethiopia, Germany, Guyana, Hungary, India, Japan, Kazakhstan, Korea, Luxembourg, Malaysia, Mongolia, Myanmar, Namibia, Niger, Peru, Portugal, Recycled/Scrap, Taiwan, Thailand</t>
  </si>
  <si>
    <t>CID004704</t>
  </si>
  <si>
    <t>Inca One (Chala One Plant)</t>
  </si>
  <si>
    <t>CID004705</t>
  </si>
  <si>
    <t>Inca One (Koricancha Plant)</t>
  </si>
  <si>
    <t>Maricel Santos, Elaine Kate Pagalilauan</t>
  </si>
  <si>
    <t>mcsantos@bsp.gov.ph, pagalilauanef@bsp.gov.ph</t>
  </si>
  <si>
    <t>Australia, Brazil, Canada, Chile, China, Finland, Germany, Hong Kong, India, Indonesia, Ireland, Italy, Japan, Mexico, Peru, Philippines, Recycled/Scrap, Sweden, Thailand, United States</t>
  </si>
  <si>
    <t>Phase 3 Block 15-A Lot 1, Cavite Economic Zone, 4106 Rosario Cavite, Philippines</t>
  </si>
  <si>
    <t>Ms. Vangie Punongbayan</t>
  </si>
  <si>
    <t>eb.punongbayan@omp.com.ph</t>
  </si>
  <si>
    <t>Argentina, Austria, Belgium, Brazil, Canada, Chile, China, Germany, Hungary, India, Japan, Republic of Korea, Luxembourg, Malaysia, Mongolia, Myanmar, Peru, Philippines, Thailand</t>
  </si>
  <si>
    <t>Unit D 1&amp;2 Greenmiles Compound, Iglesia ni Cristo St., Sta. Rosa 1, Marilao, Bulacan, Philippines P.C. 3019</t>
  </si>
  <si>
    <t>Lily Zhang</t>
  </si>
  <si>
    <t>josephine08@163.com</t>
  </si>
  <si>
    <t>Not disclosed per TI-CMC</t>
  </si>
  <si>
    <t>American Samoa, Brazil, China, Japan, Philippines, Recycled/Scrap, Samoa, Turkey</t>
  </si>
  <si>
    <t>ul. Strefowa 13, 39-442 Chmielów, Poland</t>
  </si>
  <si>
    <t>Pawel Kupiec</t>
  </si>
  <si>
    <t>p.kupiec@fenixmetals.com</t>
  </si>
  <si>
    <t>Mineral sourcing LR, R/S based on RMAP-RMI's RCOI data</t>
  </si>
  <si>
    <t>ul. M. Sklodowskiej-Curie 48, 59-301 Lubin, Poland</t>
  </si>
  <si>
    <t>Oskar Filipowski</t>
  </si>
  <si>
    <t>Oskar.Filipowski@kghm.com</t>
  </si>
  <si>
    <t>Andorra, Argentina, Australia, Austria, Belgium, Brazil, Cambodia, Canada, Chile, China, Colombia, Ecuador, Egypt, Estonia, France, Germany, Guyana, Hungary, India, Indonesia, Ireland, Israel, Japan, Kazakhstan, Republic of Korea, Luxembourg, Malaysia, Mongolia, Namibia, Netherlands, Niger, Nigeria, Peru, Poland, Portugal, Singapore, Slovakia, Spain, Suriname, Switzerland, Thailand, United Kingdom, United States</t>
  </si>
  <si>
    <t>Karuruma-Jabana, Kigali, Rwanda</t>
  </si>
  <si>
    <t>Juliette Mukakaranda</t>
  </si>
  <si>
    <t>juliette.mukakaranda@lunasmelter.com</t>
  </si>
  <si>
    <t>Brazil, Burundi, Democratic Republic of the Congo, Rwanda, Thailand</t>
  </si>
  <si>
    <t>Ray Power</t>
  </si>
  <si>
    <t>ray.power@pwr.ltd</t>
  </si>
  <si>
    <t>Recycled/Scrap, Saudi Arabia, Australia, Canada, Japan, China, Egypt, Taiwan</t>
  </si>
  <si>
    <t>Singapore City, Singapore</t>
  </si>
  <si>
    <t>Germiston, South Africa</t>
  </si>
  <si>
    <t>Chris Horsley</t>
  </si>
  <si>
    <t>chrish@gold.co.za</t>
  </si>
  <si>
    <t>Australia, Austria, Belgium, Brazil, Canada, China, Congo, Democratic Republic of the Congo, Germany, Ghana, Guinea, Hong Kong, Malaysia, Mali, Namibia, Papua New Guinea, Philippines, Recycled/Scrap, South Africa, Switzerland, Tanzania, United States</t>
  </si>
  <si>
    <t>OR Tambo International Airport Special Economic Zone, Precinct 1, Bonaero Drive, ACSA Precinct, Gauteng, 1619, South Africa</t>
  </si>
  <si>
    <t>Tania Pelser</t>
  </si>
  <si>
    <t>tania.pelser@metcon.co.za</t>
  </si>
  <si>
    <t>CID004610</t>
  </si>
  <si>
    <t>Impala Rustenburg</t>
  </si>
  <si>
    <t>Democratic Republic of the Congo, Republic of Korea, Recycled/Scrap, South Africa</t>
  </si>
  <si>
    <t>CID004604</t>
  </si>
  <si>
    <t>Impala Refineries – Base Metals Refinery (BMR)</t>
  </si>
  <si>
    <t>Madrid, Spain</t>
  </si>
  <si>
    <t>Julian Sarda</t>
  </si>
  <si>
    <t>jsarda@sempsajp.com</t>
  </si>
  <si>
    <t>Argentina, Australia, Austria, Belgium, Brazil, Cambodia, Canada, Chile, China, Colombia, Ecuador, Egypt, Estonia, France, Germany, Guyana, Hungary, India, Indonesia, Ireland, Israel, Japan, Kazakhstan, Republic of Korea, Luxembourg, Malaysia, Mongolia, Namibia, Netherlands, Niger, Nigeria, Peru, Portugal, Recycled/Scrap, Singapore, Slovakia, Spain, Suriname, Switzerland, Thailand, United Kingdom, United States</t>
  </si>
  <si>
    <t>Barrio Arene, 20 - 48640 Berango Vizcaya, Spain</t>
  </si>
  <si>
    <t>Argentina, Australia, Austria, Belgium, Brazil, Canada, Chile, China, Estonia, France, Germany, Hungary, India, Indonesia, Ireland, Israel, Japan, Republic of Korea, Luxembourg, Malaysia, Mongolia, Myanmar, Netherlands, Niger, Nigeria, Peru, Portugal, Singapore, Slovakia, Spain, Switzerland, Thailand, United Kingdom, United States</t>
  </si>
  <si>
    <t>C/Jose Antonio Nave 2-10, Toledo, Espana</t>
  </si>
  <si>
    <t>Esther Canete</t>
  </si>
  <si>
    <t>ECANETE@CRMSYNERGIES.COM</t>
  </si>
  <si>
    <t>Recycled/Scrap Only. Spain</t>
  </si>
  <si>
    <t>Skelleftehamn, Skellefteå Municipality, Västerbotten County, Sweden</t>
  </si>
  <si>
    <t>Hanna Schweitz</t>
  </si>
  <si>
    <t>hanna.schweitz@boliden.com</t>
  </si>
  <si>
    <t>Australia, Brazil, Canada, China, Finland, Germany, Indonesia, Ireland, Italy, Japan, Lithuania, Panama, Philippines, Recycled/Scrap, Singapore, South Africa, Sweden, Switzerland</t>
  </si>
  <si>
    <t>Marin, Neuchâtel, Switzerland</t>
  </si>
  <si>
    <t>Marco Pisino</t>
  </si>
  <si>
    <t>marco.pisino@metalor.com</t>
  </si>
  <si>
    <t>Andorra, Belgium, Canada, China, Congo, Democratic Republic of the Congo, Hong Kong, Indonesia, Peru, Recycled/Scrap, Singapore, Sudan, Sweden, Switzerland, Tanzania, United Kingdom, United States</t>
  </si>
  <si>
    <t>Promenade Saint-Antoine 10, 1211 Geneva, Switzerland</t>
  </si>
  <si>
    <t>Oliver Demierre</t>
  </si>
  <si>
    <t>olivier@mks.ch</t>
  </si>
  <si>
    <t>Andorra, Argentina, Australia, Belgium, Brazil, Canada, China, Dominica, Dominican Republic, Ecuador, Ghana, Guinea, Hong Kong, Indonesia, Japan, Liberia, Malaysia, Mauritania, Mexico, Peru, Recycled/Scrap, South Africa, Switzerland, Tanzania, United Kingdom, United States</t>
  </si>
  <si>
    <t>Jerome Tirmarche</t>
  </si>
  <si>
    <t>jerome.tirmarche@pxgroup.com</t>
  </si>
  <si>
    <t>Andorra, Argentina, Australia, Austria, Belgium, Brazil, Cambodia, Canada, Chile, China, Colombia, Ecuador, Egypt, Estonia, France, Germany, India, Indonesia, Peru, Recycled/Scrap, Switzerland, United States</t>
  </si>
  <si>
    <t>Balerna, Switzerland</t>
  </si>
  <si>
    <t>Michael Mesaric</t>
  </si>
  <si>
    <t>Michael.Mesaric@valcambi.com</t>
  </si>
  <si>
    <t>Andorra, Argentina, Australia, Austria, Brazil, Cambodia, Chile, China, Colombia, Democratic Republic of the Congo, Ecuador, Germany, Guyana, Hong Kong, Hungary, Japan, Kazakhstan, Republic of Korea, Luxembourg, Recycled/Scrap, Switzerland, United States</t>
  </si>
  <si>
    <t>Christoph Wild</t>
  </si>
  <si>
    <t>christoph.wild@argor.com</t>
  </si>
  <si>
    <t>Andorra, Argentina, Australia, Brazil, Burkina Faso, Canada, Chile, China, Ghana, Hong Kong, Indonesia, Japan, Mexico, Mongolia, Panama, Peru, Philippines, Poland, Recycled/Scrap, Singapore, South Africa, Sweden, Switzerland, United Kingdom, United States</t>
  </si>
  <si>
    <t>Andorra, Australia, Canada, Chile, China, Germany, Italy, Japan, Recycled/Scrap, Russian Federation, Switzerland</t>
  </si>
  <si>
    <t>No. 1-1, Lane 139, Gong 5th Rd., Lin 39, Wulin Village, 
Longtan Shiang Taoyuang, Taiwan</t>
  </si>
  <si>
    <t>Ruby Chen</t>
  </si>
  <si>
    <t>rdh_42@rdh.com.tw</t>
  </si>
  <si>
    <t>Argentina, Australia, Brazil, Canada, China, Germany, Indonesia, Ireland, Japan, Malaysia, Mongolia, Myanmar, Niger, Nigeria, Peru, Portugal, Russian Federation, Thailand, United Kingdom, United States, Vietnam</t>
  </si>
  <si>
    <t>No. 16, Gong 1st Rd., Liuying District, Tainan City, 73659 Taiwan</t>
  </si>
  <si>
    <t>Ms. Claire Lin; Ava Hsieh</t>
  </si>
  <si>
    <t>claire.lin@solartech.com.tw; avahsieh@solartech.com.tw</t>
  </si>
  <si>
    <t>No. 103, Section 3, Zhongshan Road, Fangliao Township, Pingtung County, Taiwan</t>
  </si>
  <si>
    <t>David Yen</t>
  </si>
  <si>
    <t>david@lianyoucorp.com</t>
  </si>
  <si>
    <t>Australia, Brazil, Canada, China, Ethiopia, Germany, India, Japan, Liechtenstein, Mozambique, Namibia, Recycled/Scrap, Russian Federation, Rwanda, Sierra Leone, Taiwan, Zimbabwe</t>
  </si>
  <si>
    <t>TAIWAN, PROVINCE OF CHINA. Recycled, Scrap</t>
  </si>
  <si>
    <t>Chenchia Wang</t>
  </si>
  <si>
    <t>chenchia.wang@pjemetal.com</t>
  </si>
  <si>
    <t>CID001172</t>
  </si>
  <si>
    <t>Minchali Metal Industry Co., Ltd.</t>
  </si>
  <si>
    <t>CID001541</t>
  </si>
  <si>
    <t>CID001764</t>
  </si>
  <si>
    <t>China, Recycled/Scrap, Taiwan</t>
  </si>
  <si>
    <t>Argentina, Austria, Belgium, Brazil, Cambodia, Canada, Chile, China, Colombia, Ecuador, Ethiopia, Germany, Guyana, Hungary, India, Japan, Kazakhstan, Korea, Luxembourg, Malaysia, Mongolia, Myanmar, Namibia, Peru, Portugal, Recycled/Scrap, Taiwan, United States</t>
  </si>
  <si>
    <t>TANZANIA</t>
  </si>
  <si>
    <t>Jamila Borda</t>
  </si>
  <si>
    <t>j.borda@geitarefinery.com</t>
  </si>
  <si>
    <t>Thailand Smelting and Refining Co. Ltd.
80 Moo 8, Sakdidej Road, T. Vichit, A. Muang, 
Phuket 83000, THAILAND</t>
  </si>
  <si>
    <t>Mr. Warit Choovaree</t>
  </si>
  <si>
    <t>warit@thaisarco.com</t>
  </si>
  <si>
    <t>PT Sumber Jaya Indah  and others mining not disclosed by supplier</t>
  </si>
  <si>
    <t xml:space="preserve">Mineral sourcing LR, CC, HR, DRC, R/S, based on RMAP-RMI's RCOI data with mining from Indonesia, Australia, Brazil, Bolivia, China, Laos, Myanmar, Morocco, Peru, Portugal, Vietnam, Rwanda </t>
  </si>
  <si>
    <t>Pinthong Industrial Estate, 789/101 Moo 1, Nongkoh-Laemchabang Road, Nongkham, Sriracha, Chonburi 20230, Thailand</t>
  </si>
  <si>
    <t>Muk Sawarin P.</t>
  </si>
  <si>
    <t>rmi@omthai.co.th</t>
  </si>
  <si>
    <t>5, I-3A Road, Map Ta Phut Industrial Estate, Rayong 21150, Thailand</t>
  </si>
  <si>
    <t>CID001901</t>
  </si>
  <si>
    <t>Andorra, Australia, Belgium, Brazil, Chile, China, Eritrea, India, Indonesia, Japan, Korea, Mexico, Peru, Recycled/Scrap, South Africa, Thailand, United States</t>
  </si>
  <si>
    <t>Kuyumcukent, Istanbul, Turkey</t>
  </si>
  <si>
    <t>Cigdem Bostan</t>
  </si>
  <si>
    <t>cbostan@mygoldgram.com</t>
  </si>
  <si>
    <t>Argentina, Australia, Austria, Belgium, Brazil, Cambodia, Canada, Chile, China, Colombia, Democratic Republic of the Congo, Ecuador, Egypt, Estonia, France, Germany, Guyana, Hungary, India, Indonesia, Ireland, Israel, Japan, Kazakhstan, Republic of Korea, Luxembourg, Malaysia, Mongolia, Namibia, Netherlands, Niger, Nigeria, Panama, Peru, Portugal, Recycled/Scrap, Singapore, Slovakia, Spain, Suriname, Thailand, Turkey, United States</t>
  </si>
  <si>
    <t>Bahçelievler, Istanbul, Turkey</t>
  </si>
  <si>
    <t>Esat Caliskan</t>
  </si>
  <si>
    <t>esat.caliskan@nadirmetal.com.tr</t>
  </si>
  <si>
    <t>Argentina, Australia, Austria, Belgium, Brazil, Cambodia, Canada, Chile, China, Colombia, Ecuador, Egypt, Estonia, France, Germany, Guyana, Hungary, Japan, Kazakhstan, Recycled/Scrap, Saudi Arabia, Spain, Turkey, United Arab Emirates</t>
  </si>
  <si>
    <t>Australia, Brazil, Indonesia, Republic of Korea, Recycled/Scrap, Turkey, United States</t>
  </si>
  <si>
    <t>Mbarara, Western</t>
  </si>
  <si>
    <t>Omid
Omid Ameri</t>
  </si>
  <si>
    <t>omid@woodcrosscapital.com</t>
  </si>
  <si>
    <t>Argentina, Austria, Belgium, Brazil, Cambodia, Canada, Chile, China, Colombia, Ecuador, Ethiopia, Germany, Guyana, Hungary, India, Japan, Kazakhstan, Korea, Luxembourg, Malaysia, Mongolia, Myanmar, Namibia, Peru, Portugal, Recycled/Scrap, United Arab Emirates</t>
  </si>
  <si>
    <t>Argentina, Austria, Belgium, Brazil, Cambodia, Canada, Chile, China, Colombia, Congo, Ecuador, Guyana, Hungary, India, Japan, Kazakhstan, Korea, Luxembourg, Malaysia, Mongolia, Myanmar, Namibia, Portugal, Recycled/Scrap, Tanzania, United Arab Emirates</t>
  </si>
  <si>
    <t>Recycled/Scrap, United Arab Emirates</t>
  </si>
  <si>
    <t>Japan, Recycled/Scrap, United Arab Emirates</t>
  </si>
  <si>
    <t>CID002596</t>
  </si>
  <si>
    <t>ARY Aurum Plus</t>
  </si>
  <si>
    <t>CID002899</t>
  </si>
  <si>
    <t>Al Ghaith Gold</t>
  </si>
  <si>
    <t>Lauren Faella</t>
  </si>
  <si>
    <t>lfaella@adchem.com</t>
  </si>
  <si>
    <t>Argentina, Brazil, Canada, Ghana, Guinea, Guyana, Japan, Mexico, Peru, United States</t>
  </si>
  <si>
    <t>Mitch Lenhard</t>
  </si>
  <si>
    <t>mitch.lenhard@kennametal.com</t>
  </si>
  <si>
    <t>Australia, Austria, Brazil, China, Germany, India, Ireland, Israel, Japan, Kazakhstan, Republic of Korea, Malaysia, Mongolia, Myanmar, Netherlands, Niger, Nigeria, Portugal, Recycled/Scrap, Russian Federation, Singapore, Spain, Thailand, United Kingdom, United States, Vietnam</t>
  </si>
  <si>
    <t>4100 Sixth Avenue, Altoona PA 16602</t>
  </si>
  <si>
    <t>Dan Weaver</t>
  </si>
  <si>
    <t>dweaver@alent.com</t>
  </si>
  <si>
    <t>RCOI Confirmed as per RMAP</t>
  </si>
  <si>
    <t>Cristian A. Kommer</t>
  </si>
  <si>
    <t>cristian.kommer@globaltungsten.com</t>
  </si>
  <si>
    <t>This smelter is RMI Conformant.
http://www.responsiblemineralsinitiative.org/tungsten-conformant-smelters/</t>
  </si>
  <si>
    <t>Salt Lake City, Utah</t>
  </si>
  <si>
    <t>Australia, Bermuda, Brazil, Canada, Chile, China, Democratic Republic of Congo, Eritrea, Hong Kong, Indonesia, Japan, Malaysia, Mozambique, Niger, Nigeria, Peru, Portugal, Recycled/Scrap, Rwanda, Spain, Switzerland, Thailand, United States, Uzbekistan</t>
  </si>
  <si>
    <t>Australia, Bolivia (Plurinational State of), China, Democratic Republic of the Congo, Mexico, Portugal, Russian Federation, United States, Vietnam</t>
  </si>
  <si>
    <t>Magna, Utah, USA</t>
  </si>
  <si>
    <t>Jason Lee</t>
  </si>
  <si>
    <t>Jason.Lee2@riotinto.com</t>
  </si>
  <si>
    <t>2978 Main Street, Buffalo NY 14214</t>
  </si>
  <si>
    <t>Tim Pelletier</t>
  </si>
  <si>
    <t>Timothy.Pelletier@materion.com</t>
  </si>
  <si>
    <t>Argentina, Australia, Austria, Belgium, Brazil, Cambodia, Canada, Chile, China, Colombia, Ecuador, Egypt, Estonia, France, Germany, Guyana, Hungary, India, Indonesia, Ireland, Israel, Japan, Kazakhstan, Republic of Korea, Luxembourg, Malaysia, Mongolia, Namibia, Netherlands, Niger, Nigeria, Peru, Portugal, Recycled/Scrap, Russian Federation, Singapore, Slovakia, Spain, Suriname, Switzerland, Thailand, United Kingdom, United States, Vietnam</t>
  </si>
  <si>
    <t>2368 East Enterprise Parkway, Twinsburg, OH 44087</t>
  </si>
  <si>
    <t>Eric Ozan</t>
  </si>
  <si>
    <t>EOZAN@metallicresources.com</t>
  </si>
  <si>
    <t>Argentina, Austria, Belgium, Brazil, Canada, Chile, China, Hungary, India, Japan, Republic of Korea, Luxembourg, Malaysia, Mongolia, Myanmar, Peru, Portugal, United States</t>
  </si>
  <si>
    <t>North Attleboro, Massachusetts, USA</t>
  </si>
  <si>
    <t>Telex Metals LLC, 105/115 Phyllis Drive, Croyden, PA 19021 USA</t>
  </si>
  <si>
    <t>Mr. Jim Maguire</t>
  </si>
  <si>
    <t>jim@telexmetals.com</t>
  </si>
  <si>
    <t>Australia, Brazil, Burundi, Canada, China, Estonia, Ethiopia, France, Germany, Hong Kong, India, Indonesia, Ireland, Israel, Japan, Republic of Korea, Madagascar, Mexico, Mozambique, Niger, Nigeria, Recycled/Scrap, Russian Federation, Rwanda, Sierra Leone, Singapore, Spain, Thailand, United Kingdom, United States</t>
  </si>
  <si>
    <t>2781 Townline Road, Alden, NY 14004 USA</t>
  </si>
  <si>
    <t>Mr. Michael Mikolay</t>
  </si>
  <si>
    <t>MMikolay@unitedpmr.com</t>
  </si>
  <si>
    <t>Australia, Belgium, Benin, Burkina Faso, Canada, Chile, China, Colombia, Guatemala, Indonesia, Japan, Peru, Recycled/Scrap, Switzerland, Thailand, United States</t>
  </si>
  <si>
    <t>1808 Indian Creek Road, Lincolnton, NC</t>
  </si>
  <si>
    <t>Craig Hafner</t>
  </si>
  <si>
    <t>Craig@dblockmetals.com</t>
  </si>
  <si>
    <t>Australia, Brazil, Burundi, Canada, China, El Salvador, Estonia, Ethiopia, France, Germany, Hong Kong, India, Indonesia, Ireland, Israel, Japan, Republic of Korea, Madagascar, Mexico, Mozambique, Niger, Nigeria, Recycled/Scrap, Russian Federation, Rwanda, Sierra Leone, Singapore, Spain, Thailand, United Kingdom, United States</t>
  </si>
  <si>
    <t>45 Industrial Place, Newton, MA 02461-1951</t>
  </si>
  <si>
    <t>Mark Smolinsky</t>
  </si>
  <si>
    <t>mark.smolinsky@taniobis.com</t>
  </si>
  <si>
    <t>Mineral sourcing LR,R/S, and mining from Bolivia, Brazil, Burundi, Ethiopia, India, Mozambique, Nambia, Rwanda, Sierra Leone, Zimbabwe, Nigeria, DRC</t>
  </si>
  <si>
    <t>1223 County Line Road, Boyertown, PA, 19512, US</t>
  </si>
  <si>
    <t>5601 Transit Rd, Depew, NY, USA 14043</t>
  </si>
  <si>
    <t>Roger Showalter</t>
  </si>
  <si>
    <t>roger@buffalotungsten.com, roger@niagararefining.com</t>
  </si>
  <si>
    <t>Australia, Austria, Brazil, China, Germany, India, Ireland, Israel, Japan, Kazakhstan, Republic of Korea, Malaysia, Mexico, Mongolia, Myanmar, Netherlands, Niger, Nigeria, Portugal, Recycled/Scrap, Russian Federation, Singapore, Spain, Thailand, United Kingdom, United States, Vietnam</t>
  </si>
  <si>
    <t>550 Old Bordentown Road, Fairless Hills, PA 19030</t>
  </si>
  <si>
    <t>Dennis Huacon</t>
  </si>
  <si>
    <t>dhuacon@reldan.com</t>
  </si>
  <si>
    <t>Australia, Austria, Belgium, Brazil, Canada, Chile, China, Colombia, Egypt, France, Germany, Hungary, Japan, Luxembourg, Malaysia, Portugal, Recycled/Scrap, Singapore, Switzerland, United States</t>
  </si>
  <si>
    <t>905 Fern Hill Road, West Chester, PA 19380</t>
  </si>
  <si>
    <t>Ben Etherington</t>
  </si>
  <si>
    <t>ben@nathantrotter.com</t>
  </si>
  <si>
    <t>Argentina, Australia, Austria, Brazil, Canada, Chile, China, Germany, India, Indonesia, Japan, Malaysia, Niger, Nigeria, Peru, Spain, Thailand, United Kingdom, United States</t>
  </si>
  <si>
    <t>CID000456</t>
  </si>
  <si>
    <t>Exotech Inc.</t>
  </si>
  <si>
    <t>Pompano Beach</t>
  </si>
  <si>
    <t>CID001115</t>
  </si>
  <si>
    <t>CID001116</t>
  </si>
  <si>
    <t>CID001313</t>
  </si>
  <si>
    <t>Nyrstar Metals</t>
  </si>
  <si>
    <t>CID001508</t>
  </si>
  <si>
    <t>QuantumClean</t>
  </si>
  <si>
    <t>2501 Camp Avenue, Carrollton, TX 75006 USA</t>
  </si>
  <si>
    <t>Carrollton</t>
  </si>
  <si>
    <t>Debie Laughlin</t>
  </si>
  <si>
    <t>DLaughlin@uct.com</t>
  </si>
  <si>
    <t>Australia, Bolivia (Plurinational State of), Brazil, Burundi, Canada, China, Eritrea, Ethiopia, India, Indonesia, Mozambique, Namibia, Niger, Nigeria, Poland, Recycled/Scrap, Russian Federation, Rwanda, Sierra Leone, Switzerland, United States, Zimbabwe</t>
  </si>
  <si>
    <t>Brazil, Canada, China, Eritrea, Mexico, Portugal, Recycled/Scrap, Russian Federation, Thailand, United States</t>
  </si>
  <si>
    <t>CID002459</t>
  </si>
  <si>
    <t>Geib Refining Corporation</t>
  </si>
  <si>
    <t>Argentina, Australia, Austria, Belgium, Brazil, Cambodia, Canada, Chile, China, Colombia, Ecuador, Egypt, Eritrea, Estonia, Ethiopia, France, India, Indonesia, Japan, Mexico, Portugal, Recycled/Scrap, Russian Federation, Switzerland, United States</t>
  </si>
  <si>
    <t>China, Eritrea, Recycled/Scrap, United States</t>
  </si>
  <si>
    <t>Angola, Argentina, Australia, Austria, Belgium, Brazil, Burundi, Cambodia, Canada, Central African Republic, Chile, China, Colombia, Djibouti, Ecuador, Egypt, Estonia, Ethiopia, France, Germany, Guyana, Hungary, India, Indonesia, Ireland, Israel, Italy, Japan, Kazakhstan, Republic of Korea, Luxembourg, Madagascar, Malaysia, Mongolia, Myanmar, Namibia, Netherlands, Niger, Nigeria, Peru, Portugal, Rwanda, Sierra Leone, Singapore, Slovakia, South Sudan, Spain, Sudan, Suriname, Switzerland, Tanzania, Thailand, Uganda, United Kingdom, United States, Zambia</t>
  </si>
  <si>
    <t>Mr. Rustam Halilov</t>
  </si>
  <si>
    <t>r.halilov@agmk.uz</t>
  </si>
  <si>
    <t>Argentina, Australia, Brazil, Canada, Chile, China, Congo, Democratic Republic of the Congo, Germany, India, Indonesia, Japan, Mexico, Niger, Nigeria, Peru, Philippines, Recycled/Scrap, Switzerland, Thailand, United States, Uzbekistan, Zambia</t>
  </si>
  <si>
    <t>210100, Navoi city, Navoi str. 27, Uzbekistan</t>
  </si>
  <si>
    <t>Mr. Beknazarov, Hasan Safarov</t>
  </si>
  <si>
    <t>l.beknazarov@ngmk.uz</t>
  </si>
  <si>
    <t>China, Indonesia, Recycled/Scrap, Turkey, United States, Uzbekistan</t>
  </si>
  <si>
    <t>Plot CN 06 Tan Tien Industrial Zone, Vinh Bao District, Hai Phong, Vietnam</t>
  </si>
  <si>
    <t>Ms. Li Mei (Tracy) Luo</t>
  </si>
  <si>
    <t>tracy_llm@aliyun.com</t>
  </si>
  <si>
    <t>Mineral sourcing HR, DRC, CC, R/S based on RMAP-RMI's RCOI data</t>
  </si>
  <si>
    <t>Suoi Cat Hamlet, Ha Thuong commune, Dai Tu Dist., Thai Nguyen, Vietnam</t>
  </si>
  <si>
    <t>Mr. Mirek Banaczkowski</t>
  </si>
  <si>
    <t>Mirek.Banaczkowski@mr.masangroup.com</t>
  </si>
  <si>
    <t>Tina Thai</t>
  </si>
  <si>
    <t>tungstenvietnam@gmail.com</t>
  </si>
  <si>
    <t>Krystal Zhang</t>
  </si>
  <si>
    <t>krzdijjz@163.com</t>
  </si>
  <si>
    <t>Australia, Brazil, China, Congo, Democratic Republic of the Congo, Indonesia, Japan, Malaysia, Morocco, Myanmar, Namibia, Peru, Portugal, Recycled/Scrap, Rwanda, Vietnam</t>
  </si>
  <si>
    <t>CID002538</t>
  </si>
  <si>
    <t>Sanher Tungsten Vietnam Co., Ltd.</t>
  </si>
  <si>
    <t>Brazil, Canada, Chile, China, Indonesia, Malaysia, Namibia, Recycled/Scrap, United States, Vietnam</t>
  </si>
  <si>
    <t>China, Congo, Democratic Republic of the Congo, Estonia, Namibia, Recycled/Scrap, Vietnam</t>
  </si>
  <si>
    <t>Andorra, Indonesia, Namibia, Recycled/Scrap, Thailand, Vietnam</t>
  </si>
  <si>
    <t>Brazil, Namibia, Recycled/Scrap, Turkey, Viet Nam</t>
  </si>
  <si>
    <t>CID002834</t>
  </si>
  <si>
    <t>Thai Nguyen Mining and Metallurgy Co., Ltd.</t>
  </si>
  <si>
    <t>Thai Nguyen</t>
  </si>
  <si>
    <t>RCOI recognized by RMI</t>
  </si>
  <si>
    <t>Thailand</t>
  </si>
  <si>
    <t>Congo, Democratic Republic of the Congo, Recycled/Scrap, United States, Zimbabwe</t>
  </si>
  <si>
    <t>CID000611</t>
  </si>
  <si>
    <t>GUANGDONG JINXIAN GAOXIN CAI LIAO GONG SI</t>
  </si>
  <si>
    <t>CID000718</t>
  </si>
  <si>
    <t>Hetai Gold Mineral Guangdong Co., Ltd.</t>
  </si>
  <si>
    <t>CID000840</t>
  </si>
  <si>
    <t>Jiang Jia Wang Technology Co.</t>
  </si>
  <si>
    <t>CID000884</t>
  </si>
  <si>
    <t>Jin Jinyin Refining Co., Ltd.</t>
  </si>
  <si>
    <t>CID001246</t>
  </si>
  <si>
    <t>Ney Metals and Alloys</t>
  </si>
  <si>
    <t>CID001515</t>
  </si>
  <si>
    <t>Realized the Enterprise Co., Ltd.</t>
  </si>
  <si>
    <t>CID001607</t>
  </si>
  <si>
    <t>Shandon Jin Jinyin Refining Limited</t>
  </si>
  <si>
    <t>CID001616</t>
  </si>
  <si>
    <t>Shandong penglai gold smelter</t>
  </si>
  <si>
    <t>CID001840</t>
  </si>
  <si>
    <t>Tai Perng</t>
  </si>
  <si>
    <t>CID001841</t>
  </si>
  <si>
    <t>CID001852</t>
  </si>
  <si>
    <t>Taiwan Huanliang</t>
  </si>
  <si>
    <t>CID001857</t>
  </si>
  <si>
    <t>TAIWAN TOTAI CO., LTD.</t>
  </si>
  <si>
    <t>CID001897</t>
  </si>
  <si>
    <t>Thailand Mine Factory</t>
  </si>
  <si>
    <t>CID001920</t>
  </si>
  <si>
    <t>Three green surface technology limited company</t>
  </si>
  <si>
    <t>CID001943</t>
  </si>
  <si>
    <t>TONG LONG</t>
  </si>
  <si>
    <t>CID002023</t>
  </si>
  <si>
    <t>WANG TING</t>
  </si>
  <si>
    <t>CID002076</t>
  </si>
  <si>
    <t>Xiamen JInbo Metal Co., Ltd.</t>
  </si>
  <si>
    <t>CID002123</t>
  </si>
  <si>
    <t>Yiquan Manufacturing</t>
  </si>
  <si>
    <t>CID002166</t>
  </si>
  <si>
    <t>Yunnan Geiju Smelting Corp.</t>
  </si>
  <si>
    <t>CID002201</t>
  </si>
  <si>
    <t>Zhaojun Maifu</t>
  </si>
  <si>
    <t>CID002220</t>
  </si>
  <si>
    <t>Zhongshan Jinye Smelting Co.,Ltd</t>
  </si>
  <si>
    <t>CID002436</t>
  </si>
  <si>
    <t>Solder Court Ltd.</t>
  </si>
  <si>
    <t>CID002659</t>
  </si>
  <si>
    <t>Tungsten Diversified Industries LLC</t>
  </si>
  <si>
    <t>CID002739</t>
  </si>
  <si>
    <t>Hop Hing electroplating factory Zhejiang</t>
  </si>
  <si>
    <t>CID002743</t>
  </si>
  <si>
    <t>SuZhou ShenChuang recycling Ltd.</t>
  </si>
  <si>
    <t>CID002745</t>
  </si>
  <si>
    <t>Tsai Brother industries</t>
  </si>
  <si>
    <t>CID002946</t>
  </si>
  <si>
    <t>Xianghualing Tin Industry Co., Ltd.</t>
  </si>
  <si>
    <t>CID003395</t>
  </si>
  <si>
    <t>OMODEO A. E S. METALLEGHE SRL</t>
  </si>
  <si>
    <t>RLS Merilna tehnika d. o. o.</t>
  </si>
  <si>
    <t>We design, produce and supply advanced rotary and linear motion sensors</t>
  </si>
  <si>
    <t>5315247000</t>
  </si>
  <si>
    <t>Poslovna cona Žeje pri Komendi</t>
  </si>
  <si>
    <t>Maja Gerkšič Lah</t>
  </si>
  <si>
    <t>maja.gerksic@rls.si</t>
  </si>
  <si>
    <t>+386 1 5272 152</t>
  </si>
  <si>
    <t>Matija Novak</t>
  </si>
  <si>
    <t>Director</t>
  </si>
  <si>
    <t>mail@rls.si</t>
  </si>
  <si>
    <t>http://www.rls.si/media/wysiwyg/PDF/RLS_ConflictFreeMinerals_CompanyPolicyStatement.pdf</t>
  </si>
  <si>
    <t>rotary and linear motion sensors with acessories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</si>
</sst>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mail@rls.si"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http://www.rls.si/media/wysiwyg/PDF/RLS_ConflictFreeMinerals_CompanyPolicyStatement.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7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33.75">
      <c r="A13" s="302"/>
      <c r="B13" s="2">
        <v>1</v>
      </c>
      <c r="C13" s="27" t="s">
        <v>1057</v>
      </c>
      <c r="D13" s="28" t="s">
        <v>847</v>
      </c>
      <c r="E13" s="163" t="s">
        <v>824</v>
      </c>
      <c r="F13" s="163"/>
      <c r="G13" s="25"/>
    </row>
    <row r="14" spans="1:7" ht="33.75">
      <c r="A14" s="302"/>
      <c r="B14" s="2">
        <v>2</v>
      </c>
      <c r="C14" s="27" t="s">
        <v>1057</v>
      </c>
      <c r="D14" s="28" t="s">
        <v>994</v>
      </c>
      <c r="E14" s="163" t="s">
        <v>515</v>
      </c>
      <c r="F14" s="163" t="s">
        <v>516</v>
      </c>
      <c r="G14" s="25"/>
    </row>
    <row r="15" spans="1:7" ht="89.1"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099999999999994"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50000000000001" customHeight="1">
      <c r="A28" s="302"/>
      <c r="B28" s="315"/>
      <c r="C28" s="309"/>
      <c r="D28" s="312"/>
      <c r="E28" s="300"/>
      <c r="F28" s="165" t="s">
        <v>56</v>
      </c>
      <c r="G28" s="25"/>
    </row>
    <row r="29" spans="1:7" ht="74.45" customHeight="1">
      <c r="A29" s="302"/>
      <c r="B29" s="315"/>
      <c r="C29" s="309"/>
      <c r="D29" s="312"/>
      <c r="E29" s="300"/>
      <c r="F29" s="165" t="s">
        <v>57</v>
      </c>
      <c r="G29" s="25"/>
    </row>
    <row r="30" spans="1:7" ht="62.4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45" customHeight="1">
      <c r="A33" s="302"/>
      <c r="B33" s="315"/>
      <c r="C33" s="309"/>
      <c r="D33" s="312"/>
      <c r="E33" s="300"/>
      <c r="F33" s="165" t="s">
        <v>61</v>
      </c>
      <c r="G33" s="25"/>
    </row>
    <row r="34" spans="1:7" ht="89.1" customHeight="1">
      <c r="A34" s="302"/>
      <c r="B34" s="315"/>
      <c r="C34" s="309"/>
      <c r="D34" s="312"/>
      <c r="E34" s="300"/>
      <c r="F34" s="165" t="s">
        <v>63</v>
      </c>
      <c r="G34" s="25"/>
    </row>
    <row r="35" spans="1:7" ht="29.1" customHeight="1">
      <c r="A35" s="302"/>
      <c r="B35" s="315"/>
      <c r="C35" s="309"/>
      <c r="D35" s="312"/>
      <c r="E35" s="300"/>
      <c r="F35" s="165" t="s">
        <v>64</v>
      </c>
      <c r="G35" s="25"/>
    </row>
    <row r="36" spans="1:7" ht="126.75">
      <c r="A36" s="302"/>
      <c r="B36" s="316"/>
      <c r="C36" s="310"/>
      <c r="D36" s="313"/>
      <c r="E36" s="301"/>
      <c r="F36" s="166" t="s">
        <v>65</v>
      </c>
      <c r="G36" s="25"/>
    </row>
    <row r="37" spans="1:7" ht="112.5">
      <c r="A37" s="302"/>
      <c r="B37" s="141">
        <v>3.01</v>
      </c>
      <c r="C37" s="142" t="s">
        <v>66</v>
      </c>
      <c r="D37" s="28" t="s">
        <v>2203</v>
      </c>
      <c r="E37" s="167" t="s">
        <v>1294</v>
      </c>
      <c r="F37" s="168" t="s">
        <v>1396</v>
      </c>
      <c r="G37" s="25"/>
    </row>
    <row r="38" spans="1:7" ht="101.25">
      <c r="A38" s="302"/>
      <c r="B38" s="141">
        <v>3.02</v>
      </c>
      <c r="C38" s="142" t="s">
        <v>1326</v>
      </c>
      <c r="D38" s="28" t="s">
        <v>2204</v>
      </c>
      <c r="E38" s="167" t="s">
        <v>1341</v>
      </c>
      <c r="F38" s="168" t="s">
        <v>1397</v>
      </c>
      <c r="G38" s="25"/>
    </row>
    <row r="39" spans="1:7" ht="101.25">
      <c r="A39" s="302"/>
      <c r="B39" s="150">
        <v>4</v>
      </c>
      <c r="C39" s="149" t="s">
        <v>1492</v>
      </c>
      <c r="D39" s="28" t="s">
        <v>2205</v>
      </c>
      <c r="E39" s="27" t="s">
        <v>2151</v>
      </c>
      <c r="F39" s="27" t="s">
        <v>1493</v>
      </c>
      <c r="G39" s="25"/>
    </row>
    <row r="40" spans="1:7" ht="56.25">
      <c r="A40" s="302"/>
      <c r="B40" s="141">
        <v>4.01</v>
      </c>
      <c r="C40" s="149" t="s">
        <v>1492</v>
      </c>
      <c r="D40" s="28" t="s">
        <v>2207</v>
      </c>
      <c r="E40" s="27" t="s">
        <v>2163</v>
      </c>
      <c r="F40" s="27" t="s">
        <v>2167</v>
      </c>
      <c r="G40" s="25"/>
    </row>
    <row r="41" spans="1:7" ht="56.25">
      <c r="A41" s="302"/>
      <c r="B41" s="141" t="s">
        <v>2194</v>
      </c>
      <c r="C41" s="149" t="s">
        <v>1492</v>
      </c>
      <c r="D41" s="28" t="s">
        <v>2206</v>
      </c>
      <c r="E41" s="27" t="s">
        <v>2197</v>
      </c>
      <c r="F41" s="27" t="s">
        <v>2195</v>
      </c>
      <c r="G41" s="25"/>
    </row>
    <row r="42" spans="1:7" ht="56.25">
      <c r="A42" s="302"/>
      <c r="B42" s="141" t="s">
        <v>2228</v>
      </c>
      <c r="C42" s="149" t="s">
        <v>1492</v>
      </c>
      <c r="D42" s="28" t="s">
        <v>2233</v>
      </c>
      <c r="E42" s="27" t="s">
        <v>2196</v>
      </c>
      <c r="F42" s="27" t="s">
        <v>2229</v>
      </c>
      <c r="G42" s="25"/>
    </row>
    <row r="43" spans="1:7" ht="123.75">
      <c r="A43" s="302"/>
      <c r="B43" s="160">
        <v>4.0999999999999996</v>
      </c>
      <c r="C43" s="149" t="s">
        <v>2232</v>
      </c>
      <c r="D43" s="161">
        <v>42867</v>
      </c>
      <c r="E43" s="169" t="s">
        <v>2235</v>
      </c>
      <c r="F43" s="27" t="s">
        <v>2234</v>
      </c>
      <c r="G43" s="25"/>
    </row>
    <row r="44" spans="1:7" ht="78.75">
      <c r="A44" s="302"/>
      <c r="B44" s="160">
        <v>4.2</v>
      </c>
      <c r="C44" s="149" t="s">
        <v>2232</v>
      </c>
      <c r="D44" s="161">
        <v>42704</v>
      </c>
      <c r="E44" s="169" t="s">
        <v>2431</v>
      </c>
      <c r="F44" s="27" t="s">
        <v>2406</v>
      </c>
      <c r="G44" s="25"/>
    </row>
    <row r="45" spans="1:7" ht="157.5">
      <c r="A45" s="302"/>
      <c r="B45" s="202">
        <v>5</v>
      </c>
      <c r="C45" s="149" t="s">
        <v>2232</v>
      </c>
      <c r="D45" s="161">
        <v>42867</v>
      </c>
      <c r="E45" s="169" t="s">
        <v>12652</v>
      </c>
      <c r="F45" s="27" t="s">
        <v>12374</v>
      </c>
      <c r="G45" s="25"/>
    </row>
    <row r="46" spans="1:7" ht="45">
      <c r="A46" s="302"/>
      <c r="B46" s="160">
        <v>5.01</v>
      </c>
      <c r="C46" s="149" t="s">
        <v>2232</v>
      </c>
      <c r="D46" s="161">
        <v>42907</v>
      </c>
      <c r="E46" s="169" t="s">
        <v>15329</v>
      </c>
      <c r="F46" s="27" t="s">
        <v>12374</v>
      </c>
      <c r="G46" s="25"/>
    </row>
    <row r="47" spans="1:7" ht="67.5">
      <c r="A47" s="302"/>
      <c r="B47" s="160">
        <v>5.0999999999999996</v>
      </c>
      <c r="C47" s="149" t="s">
        <v>2232</v>
      </c>
      <c r="D47" s="161">
        <v>43070</v>
      </c>
      <c r="E47" s="169" t="s">
        <v>12862</v>
      </c>
      <c r="F47" s="27" t="s">
        <v>12863</v>
      </c>
      <c r="G47" s="25"/>
    </row>
    <row r="48" spans="1:7" ht="56.25">
      <c r="A48" s="302"/>
      <c r="B48" s="160">
        <v>5.1100000000000003</v>
      </c>
      <c r="C48" s="149" t="s">
        <v>13097</v>
      </c>
      <c r="D48" s="161">
        <v>43217</v>
      </c>
      <c r="E48" s="169" t="s">
        <v>13199</v>
      </c>
      <c r="F48" s="27" t="s">
        <v>13124</v>
      </c>
      <c r="G48" s="25"/>
    </row>
    <row r="49" spans="1:7" ht="56.25">
      <c r="A49" s="302"/>
      <c r="B49" s="160">
        <v>5.12</v>
      </c>
      <c r="C49" s="149" t="s">
        <v>13097</v>
      </c>
      <c r="D49" s="161">
        <v>43581</v>
      </c>
      <c r="E49" s="169" t="s">
        <v>13199</v>
      </c>
      <c r="F49" s="27" t="s">
        <v>13741</v>
      </c>
      <c r="G49" s="25"/>
    </row>
    <row r="50" spans="1:7" ht="78.75">
      <c r="A50" s="302"/>
      <c r="B50" s="202">
        <v>6</v>
      </c>
      <c r="C50" s="149" t="s">
        <v>13097</v>
      </c>
      <c r="D50" s="161">
        <v>43964</v>
      </c>
      <c r="E50" s="169" t="s">
        <v>13953</v>
      </c>
      <c r="F50" s="27" t="s">
        <v>13744</v>
      </c>
      <c r="G50" s="25"/>
    </row>
    <row r="51" spans="1:7" ht="45">
      <c r="A51" s="302"/>
      <c r="B51" s="160">
        <v>6.01</v>
      </c>
      <c r="C51" s="149" t="s">
        <v>13097</v>
      </c>
      <c r="D51" s="161">
        <v>43970</v>
      </c>
      <c r="E51" s="169" t="s">
        <v>15330</v>
      </c>
      <c r="F51" s="169" t="s">
        <v>13744</v>
      </c>
      <c r="G51" s="25"/>
    </row>
    <row r="52" spans="1:7" ht="45">
      <c r="A52" s="302"/>
      <c r="B52" s="160">
        <v>6.1</v>
      </c>
      <c r="C52" s="149" t="s">
        <v>13097</v>
      </c>
      <c r="D52" s="161">
        <v>44314</v>
      </c>
      <c r="E52" s="169" t="s">
        <v>15323</v>
      </c>
      <c r="F52" s="169" t="s">
        <v>14913</v>
      </c>
      <c r="G52" s="25"/>
    </row>
    <row r="53" spans="1:7" ht="45">
      <c r="A53" s="302"/>
      <c r="B53" s="160">
        <v>6.2</v>
      </c>
      <c r="C53" s="149" t="s">
        <v>13097</v>
      </c>
      <c r="D53" s="161">
        <v>44678</v>
      </c>
      <c r="E53" s="169" t="s">
        <v>15323</v>
      </c>
      <c r="F53" s="169" t="s">
        <v>15322</v>
      </c>
      <c r="G53" s="25"/>
    </row>
    <row r="54" spans="1:7" ht="45">
      <c r="A54" s="302"/>
      <c r="B54" s="160">
        <v>6.21</v>
      </c>
      <c r="C54" s="149" t="s">
        <v>13097</v>
      </c>
      <c r="D54" s="161">
        <v>44687</v>
      </c>
      <c r="E54" s="169" t="s">
        <v>15331</v>
      </c>
      <c r="F54" s="169" t="s">
        <v>15322</v>
      </c>
      <c r="G54" s="25"/>
    </row>
    <row r="55" spans="1:7" ht="45">
      <c r="A55" s="302"/>
      <c r="B55" s="160">
        <v>6.22</v>
      </c>
      <c r="C55" s="149" t="s">
        <v>13097</v>
      </c>
      <c r="D55" s="275">
        <v>44692</v>
      </c>
      <c r="E55" s="169" t="s">
        <v>15330</v>
      </c>
      <c r="F55" s="169" t="s">
        <v>15322</v>
      </c>
      <c r="G55" s="25"/>
    </row>
    <row r="56" spans="1:7" ht="56.25">
      <c r="A56" s="302"/>
      <c r="B56" s="202">
        <v>6.3</v>
      </c>
      <c r="C56" s="149" t="s">
        <v>13097</v>
      </c>
      <c r="D56" s="275">
        <v>45051</v>
      </c>
      <c r="E56" s="169" t="s">
        <v>15590</v>
      </c>
      <c r="F56" s="169" t="s">
        <v>15371</v>
      </c>
      <c r="G56" s="25"/>
    </row>
    <row r="57" spans="1:7" ht="45">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450000000000003" customHeight="1">
      <c r="A59" s="302"/>
      <c r="B59" s="202">
        <v>6.5</v>
      </c>
      <c r="C59" s="149" t="s">
        <v>13097</v>
      </c>
      <c r="D59" s="275">
        <v>45772</v>
      </c>
      <c r="E59" s="169" t="s">
        <v>15669</v>
      </c>
      <c r="F59" s="169" t="s">
        <v>15720</v>
      </c>
      <c r="G59" s="25"/>
    </row>
    <row r="60" spans="1:7" ht="13.5" thickBot="1">
      <c r="A60" s="303"/>
      <c r="B60" s="304" t="str">
        <f ca="1">OFFSET(L!$C$1,MATCH("General"&amp;"Cpy",L!$A:$A,0)-1,SL,,)</f>
        <v>© 2025 Responsible Minerals Initiative. All rights reserved.</v>
      </c>
      <c r="C60" s="304"/>
      <c r="D60" s="304"/>
      <c r="E60" s="304"/>
      <c r="F60" s="304"/>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F0108C7E-5DB8-452A-8B2C-7770E840E43F}"/>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7D194C6F-3F69-40C5-AF73-36799A2D45D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11" sqref="D11:J1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7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63" t="s">
        <v>17065</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76" t="str">
        <f ca="1">OFFSET(L!$C$1,MATCH("Declaration"&amp;ADDRESS(ROW(),COLUMN(),4)&amp;LEFT($D$9,1),L!$A:$A,0)-1,SL,,)</f>
        <v>Description of Scope:</v>
      </c>
      <c r="C10" s="122"/>
      <c r="D10" s="367" t="s">
        <v>17066</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7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t="s">
        <v>17067</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17068</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17069</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78" t="s">
        <v>17070</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17071</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23" t="s">
        <v>17072</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17073</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8" t="s">
        <v>17074</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81" t="s">
        <v>17071</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84">
        <v>45860</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326" t="s">
        <v>475</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475</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26" t="s">
        <v>475</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45" t="s">
        <v>475</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475</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26" t="s">
        <v>475</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326" t="s">
        <v>475</v>
      </c>
      <c r="E38" s="327"/>
      <c r="F38" s="47"/>
      <c r="G38" s="328"/>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475</v>
      </c>
      <c r="E39" s="327"/>
      <c r="F39" s="47"/>
      <c r="G39" s="328"/>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475</v>
      </c>
      <c r="E40" s="327"/>
      <c r="F40" s="47"/>
      <c r="G40" s="328"/>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26" t="s">
        <v>475</v>
      </c>
      <c r="E41" s="327"/>
      <c r="F41" s="47"/>
      <c r="G41" s="328"/>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475</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475</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475</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475</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326" t="s">
        <v>476</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476</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476</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26" t="s">
        <v>476</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47" t="s">
        <v>2432</v>
      </c>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47" t="s">
        <v>2432</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47" t="s">
        <v>2432</v>
      </c>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47" t="s">
        <v>2432</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45" t="s">
        <v>476</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476</v>
      </c>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476</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26" t="s">
        <v>476</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326" t="s">
        <v>475</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475</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26" t="s">
        <v>475</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26" t="s">
        <v>475</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17075</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475</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7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75" hidden="1">
      <c r="B98" s="56" t="s">
        <v>477</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2432</v>
      </c>
      <c r="D100" s="282" t="str">
        <f>IF(AND(OR($D$27="Yes",$D$27=""),OR($D$33="Yes",$D$33="")),"No","")</f>
        <v>No</v>
      </c>
      <c r="E100" s="282" t="str">
        <f>IF(AND(OR($D$26="Yes",$D$26=""),OR($D$32="Yes",$D$32="")),"50% or less","")</f>
        <v>50% or less</v>
      </c>
      <c r="G100" s="282" t="str">
        <f>IF(OR($D$28="Yes",$D$28=""),"Yes","")</f>
        <v>Yes</v>
      </c>
    </row>
    <row r="101" spans="2:7" ht="15.75" hidden="1">
      <c r="B101" s="236" t="s">
        <v>2433</v>
      </c>
      <c r="D101" s="282" t="str">
        <f>IF(AND(OR($D$27="Yes",$D$27=""),OR($D$33="Yes",$D$33="")),"Unknown","")</f>
        <v>Unknown</v>
      </c>
      <c r="E101" s="282" t="str">
        <f>IF(AND(OR($D$26="Yes",$D$26=""),OR($D$32="Yes",$D$32="")),"None","")</f>
        <v>None</v>
      </c>
      <c r="G101" s="282" t="str">
        <f>IF(OR($D$28="Yes",$D$28=""),"No","")</f>
        <v>No</v>
      </c>
    </row>
    <row r="102" spans="2:7" ht="15.75" hidden="1">
      <c r="B102" s="236" t="s">
        <v>2434</v>
      </c>
      <c r="D102" s="282" t="str">
        <f>IF(AND(OR($D$28="Yes",$D$28=""),OR($D$34="Yes",$D$34="")),"Yes","")</f>
        <v>Yes</v>
      </c>
      <c r="E102" s="282" t="str">
        <f>IF(AND(OR($D$27="Yes",$D$27=""),OR($D$33="Yes",$D$33="")),"100%","")</f>
        <v>100%</v>
      </c>
      <c r="G102" s="282" t="str">
        <f>IF(OR($D$29="Yes",$D$29=""),"Yes","")</f>
        <v>Yes</v>
      </c>
    </row>
    <row r="103" spans="2:7" ht="15.75" hidden="1">
      <c r="B103" s="236" t="s">
        <v>2435</v>
      </c>
      <c r="D103" s="282" t="str">
        <f>IF(AND(OR($D$28="Yes",$D$28=""),OR($D$34="Yes",$D$34="")),"No","")</f>
        <v>No</v>
      </c>
      <c r="E103" s="282" t="str">
        <f>IF(AND(OR($D$27="Yes",$D$27=""),OR($D$33="Yes",$D$33="")),"Greater than 90%","")</f>
        <v>Greater than 90%</v>
      </c>
      <c r="G103" s="282" t="str">
        <f>IF(OR($D$29="Yes",$D$29=""),"No","")</f>
        <v>No</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Yes</v>
      </c>
      <c r="E105" s="282" t="str">
        <f>IF(AND(OR($D$27="Yes",$D$27=""),OR($D$33="Yes",$D$33="")),"Greater than 50%","")</f>
        <v>Greater than 50%</v>
      </c>
    </row>
    <row r="106" spans="2:7" ht="15.75" hidden="1">
      <c r="B106" s="236" t="s">
        <v>12341</v>
      </c>
      <c r="D106" s="282" t="str">
        <f>IF(AND(OR($D$29="Yes",$D$29=""),OR($D$35="Yes",$D$35="")),"No","")</f>
        <v>No</v>
      </c>
      <c r="E106" s="282" t="str">
        <f>IF(AND(OR($D$27="Yes",$D$27=""),OR($D$33="Yes",$D$33="")),"50% or less","")</f>
        <v>50% or less</v>
      </c>
    </row>
    <row r="107" spans="2:7" ht="15.75" hidden="1">
      <c r="B107" s="236" t="s">
        <v>476</v>
      </c>
      <c r="D107" s="282" t="str">
        <f>IF(AND(OR($D$29="Yes",$D$29=""),OR($D$35="Yes",$D$35="")),"Unknown","")</f>
        <v>Unknown</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20" r:id="rId3" xr:uid="{99C88D8B-18D2-412E-8D08-0B0051A7EDB0}"/>
    <hyperlink ref="G77" r:id="rId4" xr:uid="{B87DB336-481E-4EB8-9A08-273C49EE8471}"/>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I20" sqref="I20"/>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100000000000001" customHeight="1">
      <c r="A5" s="262" t="s">
        <v>2392</v>
      </c>
      <c r="B5" s="182" t="s">
        <v>1098</v>
      </c>
      <c r="C5" s="186" t="s">
        <v>2391</v>
      </c>
      <c r="D5" s="230" t="s">
        <v>2391</v>
      </c>
      <c r="E5" s="182" t="s">
        <v>15817</v>
      </c>
      <c r="F5" s="182" t="s">
        <v>2392</v>
      </c>
      <c r="G5" s="182" t="s">
        <v>13177</v>
      </c>
      <c r="H5" s="183" t="s">
        <v>15818</v>
      </c>
      <c r="I5" s="184" t="s">
        <v>2402</v>
      </c>
      <c r="J5" s="184" t="s">
        <v>2402</v>
      </c>
      <c r="K5" s="224" t="s">
        <v>15819</v>
      </c>
      <c r="L5" s="224" t="s">
        <v>15820</v>
      </c>
      <c r="M5" s="224"/>
      <c r="N5" s="224"/>
      <c r="O5" s="224" t="s">
        <v>15821</v>
      </c>
      <c r="P5" s="185" t="s">
        <v>476</v>
      </c>
      <c r="Q5" s="225" t="s">
        <v>15822</v>
      </c>
      <c r="R5" s="182" t="str">
        <f ca="1">IF(ISERROR($V5),"",OFFSET('Smelter Look-up'!$C$4,$V5-4,0)&amp;"")</f>
        <v>L'Orfebre S.A.</v>
      </c>
      <c r="S5" s="181" t="str">
        <f ca="1">IF(B5="","",IF(ISERROR(MATCH($E5,CL,0)),"Unknown",INDIRECT("'C'!$A$"&amp;MATCH($E5,CL,0)+1)))</f>
        <v>Unknown</v>
      </c>
      <c r="T5" s="181" t="e">
        <f ca="1">IF(B5="","",IF(ISERROR(MATCH($J5,SorP!$B$1:$B$6226,0)),"",INDIRECT("'SorP'!$A$"&amp;MATCH($S5&amp;$J5,SorP!C:C,0))))</f>
        <v>#N/A</v>
      </c>
      <c r="U5" s="201"/>
      <c r="V5" s="226">
        <f>IF(C5="",NA(),IF(OR(C5="Smelter not listed",C5="Smelter not yet identified"),MATCH($B5&amp;$D5,'Smelter Look-up'!$J:$J,0),MATCH($B5&amp;$C5,'Smelter Look-up'!$J:$J,0)))</f>
        <v>162</v>
      </c>
      <c r="X5" s="227">
        <f t="shared" ref="X5" si="0">IF(AND(C5="Smelter not listed",OR(LEN(D5)=0,LEN(E5)=0)),1,0)</f>
        <v>0</v>
      </c>
      <c r="AB5" s="228" t="str">
        <f t="shared" ref="AB5" si="1">B5&amp;C5</f>
        <v>GoldL'Orfebre S.A.</v>
      </c>
    </row>
    <row r="6" spans="1:34" s="227" customFormat="1" ht="20.100000000000001" customHeight="1">
      <c r="A6" s="262" t="s">
        <v>722</v>
      </c>
      <c r="B6" s="182" t="s">
        <v>1098</v>
      </c>
      <c r="C6" s="186" t="s">
        <v>2440</v>
      </c>
      <c r="D6" s="230" t="s">
        <v>2440</v>
      </c>
      <c r="E6" s="182" t="s">
        <v>1062</v>
      </c>
      <c r="F6" s="182" t="s">
        <v>722</v>
      </c>
      <c r="G6" s="182" t="s">
        <v>13177</v>
      </c>
      <c r="H6" s="183" t="s">
        <v>15823</v>
      </c>
      <c r="I6" s="184" t="s">
        <v>1645</v>
      </c>
      <c r="J6" s="184" t="s">
        <v>1646</v>
      </c>
      <c r="K6" s="224" t="s">
        <v>15824</v>
      </c>
      <c r="L6" s="224" t="s">
        <v>15825</v>
      </c>
      <c r="M6" s="224" t="s">
        <v>15826</v>
      </c>
      <c r="N6" s="224" t="s">
        <v>15827</v>
      </c>
      <c r="O6" s="224" t="s">
        <v>15828</v>
      </c>
      <c r="P6" s="185" t="s">
        <v>12407</v>
      </c>
      <c r="Q6" s="225" t="s">
        <v>15829</v>
      </c>
      <c r="R6" s="182" t="str">
        <f ca="1">IF(ISERROR($V6),"",OFFSET('Smelter Look-up'!$C$4,$V6-4,0)&amp;"")</f>
        <v>Western Australian Mint (T/a The Perth Mint)</v>
      </c>
      <c r="S6" s="181" t="str">
        <f t="shared" ref="S6:S37" ca="1" si="2">IF(B6="","",IF(ISERROR(MATCH($E6,CL,0)),"Unknown",INDIRECT("'C'!$A$"&amp;MATCH($E6,CL,0)+1)))</f>
        <v>AU</v>
      </c>
      <c r="T6" s="181" t="str">
        <f ca="1">IF(B6="","",IF(ISERROR(MATCH($J6,SorP!$B$1:$B$6226,0)),"",INDIRECT("'SorP'!$A$"&amp;MATCH($S6&amp;$J6,SorP!C:C,0))))</f>
        <v>AU-WA</v>
      </c>
      <c r="U6" s="201"/>
      <c r="V6" s="226">
        <f>IF(C6="",NA(),IF(OR(C6="Smelter not listed",C6="Smelter not yet identified"),MATCH($B6&amp;$D6,'Smelter Look-up'!$J:$J,0),MATCH($B6&amp;$C6,'Smelter Look-up'!$J:$J,0)))</f>
        <v>306</v>
      </c>
      <c r="X6" s="227">
        <f t="shared" ref="X6:X37" si="3">IF(AND(C6="Smelter not listed",OR(LEN(D6)=0,LEN(E6)=0)),1,0)</f>
        <v>0</v>
      </c>
      <c r="AB6" s="228" t="str">
        <f t="shared" ref="AB6:AB37" si="4">B6&amp;C6</f>
        <v>GoldWestern Australian Mint (T/a The Perth Mint)</v>
      </c>
    </row>
    <row r="7" spans="1:34" s="227" customFormat="1" ht="20.100000000000001" customHeight="1">
      <c r="A7" s="262" t="s">
        <v>15627</v>
      </c>
      <c r="B7" s="182" t="s">
        <v>1099</v>
      </c>
      <c r="C7" s="186" t="s">
        <v>15626</v>
      </c>
      <c r="D7" s="230" t="s">
        <v>15626</v>
      </c>
      <c r="E7" s="182" t="s">
        <v>1062</v>
      </c>
      <c r="F7" s="182" t="s">
        <v>15627</v>
      </c>
      <c r="G7" s="182" t="s">
        <v>13177</v>
      </c>
      <c r="H7" s="183" t="s">
        <v>15830</v>
      </c>
      <c r="I7" s="184" t="s">
        <v>15642</v>
      </c>
      <c r="J7" s="184" t="s">
        <v>1646</v>
      </c>
      <c r="K7" s="224" t="s">
        <v>15831</v>
      </c>
      <c r="L7" s="224" t="s">
        <v>15832</v>
      </c>
      <c r="M7" s="224" t="s">
        <v>15833</v>
      </c>
      <c r="N7" s="224" t="s">
        <v>15827</v>
      </c>
      <c r="O7" s="224" t="s">
        <v>1062</v>
      </c>
      <c r="P7" s="185" t="s">
        <v>12407</v>
      </c>
      <c r="Q7" s="225" t="s">
        <v>15829</v>
      </c>
      <c r="R7" s="182" t="str">
        <f ca="1">IF(ISERROR($V7),"",OFFSET('Smelter Look-up'!$C$4,$V7-4,0)&amp;"")</f>
        <v>Global Advanced Metals Greenbushes Pty Ltd.</v>
      </c>
      <c r="S7" s="181" t="str">
        <f t="shared" ca="1" si="2"/>
        <v>AU</v>
      </c>
      <c r="T7" s="181" t="str">
        <f ca="1">IF(B7="","",IF(ISERROR(MATCH($J7,SorP!$B$1:$B$6226,0)),"",INDIRECT("'SorP'!$A$"&amp;MATCH($S7&amp;$J7,SorP!C:C,0))))</f>
        <v>AU-WA</v>
      </c>
      <c r="U7" s="201"/>
      <c r="V7" s="226">
        <f>IF(C7="",NA(),IF(OR(C7="Smelter not listed",C7="Smelter not yet identified"),MATCH($B7&amp;$D7,'Smelter Look-up'!$J:$J,0),MATCH($B7&amp;$C7,'Smelter Look-up'!$J:$J,0)))</f>
        <v>447</v>
      </c>
      <c r="X7" s="227">
        <f t="shared" si="3"/>
        <v>0</v>
      </c>
      <c r="AB7" s="228" t="str">
        <f t="shared" si="4"/>
        <v>TinGlobal Advanced Metals Greenbushes Pty Ltd.</v>
      </c>
    </row>
    <row r="8" spans="1:34" s="227" customFormat="1" ht="20.100000000000001" customHeight="1">
      <c r="A8" s="262" t="s">
        <v>15274</v>
      </c>
      <c r="B8" s="182" t="s">
        <v>1098</v>
      </c>
      <c r="C8" s="186" t="s">
        <v>15273</v>
      </c>
      <c r="D8" s="230" t="s">
        <v>15273</v>
      </c>
      <c r="E8" s="182" t="s">
        <v>1062</v>
      </c>
      <c r="F8" s="182" t="s">
        <v>15274</v>
      </c>
      <c r="G8" s="182" t="s">
        <v>13177</v>
      </c>
      <c r="H8" s="183" t="s">
        <v>15830</v>
      </c>
      <c r="I8" s="184" t="s">
        <v>15275</v>
      </c>
      <c r="J8" s="184" t="s">
        <v>2770</v>
      </c>
      <c r="K8" s="224"/>
      <c r="L8" s="224"/>
      <c r="M8" s="224"/>
      <c r="N8" s="224"/>
      <c r="O8" s="224"/>
      <c r="P8" s="185"/>
      <c r="Q8" s="225"/>
      <c r="R8" s="182" t="str">
        <f ca="1">IF(ISERROR($V8),"",OFFSET('Smelter Look-up'!$C$4,$V8-4,0)&amp;"")</f>
        <v>ABC Refinery Pty Ltd.</v>
      </c>
      <c r="S8" s="181" t="str">
        <f t="shared" ca="1" si="2"/>
        <v>AU</v>
      </c>
      <c r="T8" s="181" t="str">
        <f ca="1">IF(B8="","",IF(ISERROR(MATCH($J8,SorP!$B$1:$B$6226,0)),"",INDIRECT("'SorP'!$A$"&amp;MATCH($S8&amp;$J8,SorP!C:C,0))))</f>
        <v>AU-NSW</v>
      </c>
      <c r="U8" s="201"/>
      <c r="V8" s="226">
        <f>IF(C8="",NA(),IF(OR(C8="Smelter not listed",C8="Smelter not yet identified"),MATCH($B8&amp;$D8,'Smelter Look-up'!$J:$J,0),MATCH($B8&amp;$C8,'Smelter Look-up'!$J:$J,0)))</f>
        <v>6</v>
      </c>
      <c r="X8" s="227">
        <f t="shared" si="3"/>
        <v>0</v>
      </c>
      <c r="AB8" s="228" t="str">
        <f t="shared" si="4"/>
        <v>GoldABC Refinery Pty Ltd.</v>
      </c>
    </row>
    <row r="9" spans="1:34" s="227" customFormat="1" ht="20.100000000000001" customHeight="1">
      <c r="A9" s="262" t="s">
        <v>775</v>
      </c>
      <c r="B9" s="182" t="s">
        <v>1101</v>
      </c>
      <c r="C9" s="186" t="s">
        <v>2490</v>
      </c>
      <c r="D9" s="230" t="s">
        <v>2490</v>
      </c>
      <c r="E9" s="182" t="s">
        <v>1063</v>
      </c>
      <c r="F9" s="182" t="s">
        <v>775</v>
      </c>
      <c r="G9" s="182" t="s">
        <v>13177</v>
      </c>
      <c r="H9" s="183" t="s">
        <v>15834</v>
      </c>
      <c r="I9" s="184" t="s">
        <v>1785</v>
      </c>
      <c r="J9" s="184" t="s">
        <v>2761</v>
      </c>
      <c r="K9" s="224" t="s">
        <v>15835</v>
      </c>
      <c r="L9" s="224" t="s">
        <v>15836</v>
      </c>
      <c r="M9" s="224" t="s">
        <v>15826</v>
      </c>
      <c r="N9" s="224" t="s">
        <v>15827</v>
      </c>
      <c r="O9" s="224" t="s">
        <v>15837</v>
      </c>
      <c r="P9" s="185" t="s">
        <v>12407</v>
      </c>
      <c r="Q9" s="225" t="s">
        <v>15829</v>
      </c>
      <c r="R9" s="182" t="str">
        <f ca="1">IF(ISERROR($V9),"",OFFSET('Smelter Look-up'!$C$4,$V9-4,0)&amp;"")</f>
        <v>Wolfram Bergbau und Hutten AG</v>
      </c>
      <c r="S9" s="181" t="str">
        <f t="shared" ca="1" si="2"/>
        <v>AT</v>
      </c>
      <c r="T9" s="181" t="str">
        <f ca="1">IF(B9="","",IF(ISERROR(MATCH($J9,SorP!$B$1:$B$6226,0)),"",INDIRECT("'SorP'!$A$"&amp;MATCH($S9&amp;$J9,SorP!C:C,0))))</f>
        <v>AT-6</v>
      </c>
      <c r="U9" s="201"/>
      <c r="V9" s="226">
        <f>IF(C9="",NA(),IF(OR(C9="Smelter not listed",C9="Smelter not yet identified"),MATCH($B9&amp;$D9,'Smelter Look-up'!$J:$J,0),MATCH($B9&amp;$C9,'Smelter Look-up'!$J:$J,0)))</f>
        <v>632</v>
      </c>
      <c r="X9" s="227">
        <f t="shared" si="3"/>
        <v>0</v>
      </c>
      <c r="AB9" s="228" t="str">
        <f t="shared" si="4"/>
        <v>TungstenWolfram Bergbau und Hutten AG</v>
      </c>
    </row>
    <row r="10" spans="1:34" s="227" customFormat="1" ht="20.100000000000001" customHeight="1">
      <c r="A10" s="262" t="s">
        <v>15838</v>
      </c>
      <c r="B10" s="182" t="s">
        <v>1101</v>
      </c>
      <c r="C10" s="186" t="s">
        <v>15839</v>
      </c>
      <c r="D10" s="230" t="s">
        <v>15839</v>
      </c>
      <c r="E10" s="182" t="s">
        <v>1063</v>
      </c>
      <c r="F10" s="182" t="s">
        <v>15838</v>
      </c>
      <c r="G10" s="182" t="s">
        <v>13177</v>
      </c>
      <c r="H10" s="183" t="s">
        <v>15830</v>
      </c>
      <c r="I10" s="184" t="s">
        <v>15840</v>
      </c>
      <c r="J10" s="184" t="s">
        <v>15840</v>
      </c>
      <c r="K10" s="224"/>
      <c r="L10" s="224"/>
      <c r="M10" s="224"/>
      <c r="N10" s="224"/>
      <c r="O10" s="224"/>
      <c r="P10" s="185"/>
      <c r="Q10" s="225"/>
      <c r="R10" s="182" t="str">
        <f ca="1">IF(ISERROR($V10),"",OFFSET('Smelter Look-up'!$C$4,$V10-4,0)&amp;"")</f>
        <v/>
      </c>
      <c r="S10" s="181" t="str">
        <f t="shared" ca="1" si="2"/>
        <v>AT</v>
      </c>
      <c r="T10" s="181" t="str">
        <f ca="1">IF(B10="","",IF(ISERROR(MATCH($J10,SorP!$B$1:$B$6226,0)),"",INDIRECT("'SorP'!$A$"&amp;MATCH($S10&amp;$J10,SorP!C:C,0))))</f>
        <v/>
      </c>
      <c r="U10" s="201"/>
      <c r="V10" s="226" t="e">
        <f>IF(C10="",NA(),IF(OR(C10="Smelter not listed",C10="Smelter not yet identified"),MATCH($B10&amp;$D10,'Smelter Look-up'!$J:$J,0),MATCH($B10&amp;$C10,'Smelter Look-up'!$J:$J,0)))</f>
        <v>#N/A</v>
      </c>
      <c r="X10" s="227">
        <f t="shared" si="3"/>
        <v>0</v>
      </c>
      <c r="AB10" s="228" t="str">
        <f t="shared" si="4"/>
        <v>TungstenPlansee SE Liezen</v>
      </c>
    </row>
    <row r="11" spans="1:34" s="227" customFormat="1" ht="20.100000000000001" customHeight="1">
      <c r="A11" s="262" t="s">
        <v>2158</v>
      </c>
      <c r="B11" s="182" t="s">
        <v>1098</v>
      </c>
      <c r="C11" s="186" t="s">
        <v>12382</v>
      </c>
      <c r="D11" s="230" t="s">
        <v>12382</v>
      </c>
      <c r="E11" s="182" t="s">
        <v>1063</v>
      </c>
      <c r="F11" s="182" t="s">
        <v>2158</v>
      </c>
      <c r="G11" s="182" t="s">
        <v>13177</v>
      </c>
      <c r="H11" s="183" t="s">
        <v>15841</v>
      </c>
      <c r="I11" s="184" t="s">
        <v>2159</v>
      </c>
      <c r="J11" s="184" t="s">
        <v>2755</v>
      </c>
      <c r="K11" s="224" t="s">
        <v>15842</v>
      </c>
      <c r="L11" s="224" t="s">
        <v>15843</v>
      </c>
      <c r="M11" s="224" t="s">
        <v>15833</v>
      </c>
      <c r="N11" s="224"/>
      <c r="O11" s="224" t="s">
        <v>15844</v>
      </c>
      <c r="P11" s="185"/>
      <c r="Q11" s="225"/>
      <c r="R11" s="182" t="str">
        <f ca="1">IF(ISERROR($V11),"",OFFSET('Smelter Look-up'!$C$4,$V11-4,0)&amp;"")</f>
        <v>Ogussa Osterreichische Gold- und Silber-Scheideanstalt GmbH</v>
      </c>
      <c r="S11" s="181" t="str">
        <f t="shared" ca="1" si="2"/>
        <v>AT</v>
      </c>
      <c r="T11" s="181" t="str">
        <f ca="1">IF(B11="","",IF(ISERROR(MATCH($J11,SorP!$B$1:$B$6226,0)),"",INDIRECT("'SorP'!$A$"&amp;MATCH($S11&amp;$J11,SorP!C:C,0))))</f>
        <v>AT-9</v>
      </c>
      <c r="U11" s="201"/>
      <c r="V11" s="226">
        <f>IF(C11="",NA(),IF(OR(C11="Smelter not listed",C11="Smelter not yet identified"),MATCH($B11&amp;$D11,'Smelter Look-up'!$J:$J,0),MATCH($B11&amp;$C11,'Smelter Look-up'!$J:$J,0)))</f>
        <v>205</v>
      </c>
      <c r="X11" s="227">
        <f t="shared" si="3"/>
        <v>0</v>
      </c>
      <c r="AB11" s="228" t="str">
        <f t="shared" si="4"/>
        <v>GoldOgussa Osterreichische Gold- und Silber-Scheideanstalt GmbH</v>
      </c>
    </row>
    <row r="12" spans="1:34" s="227" customFormat="1" ht="20.100000000000001" customHeight="1">
      <c r="A12" s="262" t="s">
        <v>719</v>
      </c>
      <c r="B12" s="182" t="s">
        <v>1098</v>
      </c>
      <c r="C12" s="186" t="s">
        <v>2283</v>
      </c>
      <c r="D12" s="230" t="s">
        <v>2283</v>
      </c>
      <c r="E12" s="182" t="s">
        <v>1064</v>
      </c>
      <c r="F12" s="182" t="s">
        <v>719</v>
      </c>
      <c r="G12" s="182" t="s">
        <v>13177</v>
      </c>
      <c r="H12" s="183" t="s">
        <v>15845</v>
      </c>
      <c r="I12" s="184" t="s">
        <v>1641</v>
      </c>
      <c r="J12" s="184" t="s">
        <v>3104</v>
      </c>
      <c r="K12" s="224" t="s">
        <v>15846</v>
      </c>
      <c r="L12" s="224" t="s">
        <v>15847</v>
      </c>
      <c r="M12" s="224" t="s">
        <v>15826</v>
      </c>
      <c r="N12" s="224" t="s">
        <v>15827</v>
      </c>
      <c r="O12" s="224" t="s">
        <v>1064</v>
      </c>
      <c r="P12" s="185" t="s">
        <v>12407</v>
      </c>
      <c r="Q12" s="225" t="s">
        <v>15829</v>
      </c>
      <c r="R12" s="182" t="str">
        <f ca="1">IF(ISERROR($V12),"",OFFSET('Smelter Look-up'!$C$4,$V12-4,0)&amp;"")</f>
        <v>Umicore S.A. Business Unit Precious Metals Refining</v>
      </c>
      <c r="S12" s="181" t="str">
        <f t="shared" ca="1" si="2"/>
        <v>BE</v>
      </c>
      <c r="T12" s="181" t="str">
        <f ca="1">IF(B12="","",IF(ISERROR(MATCH($J12,SorP!$B$1:$B$6226,0)),"",INDIRECT("'SorP'!$A$"&amp;MATCH($S12&amp;$J12,SorP!C:C,0))))</f>
        <v>BE-VAN</v>
      </c>
      <c r="U12" s="201"/>
      <c r="V12" s="226">
        <f>IF(C12="",NA(),IF(OR(C12="Smelter not listed",C12="Smelter not yet identified"),MATCH($B12&amp;$D12,'Smelter Look-up'!$J:$J,0),MATCH($B12&amp;$C12,'Smelter Look-up'!$J:$J,0)))</f>
        <v>302</v>
      </c>
      <c r="X12" s="227">
        <f t="shared" si="3"/>
        <v>0</v>
      </c>
      <c r="AB12" s="228" t="str">
        <f t="shared" si="4"/>
        <v>GoldUmicore S.A. Business Unit Precious Metals Refining</v>
      </c>
    </row>
    <row r="13" spans="1:34" s="227" customFormat="1" ht="20.100000000000001" customHeight="1">
      <c r="A13" s="262" t="s">
        <v>1772</v>
      </c>
      <c r="B13" s="182" t="s">
        <v>1099</v>
      </c>
      <c r="C13" s="186" t="s">
        <v>15341</v>
      </c>
      <c r="D13" s="230" t="s">
        <v>15341</v>
      </c>
      <c r="E13" s="182" t="s">
        <v>1064</v>
      </c>
      <c r="F13" s="182" t="s">
        <v>1772</v>
      </c>
      <c r="G13" s="182" t="s">
        <v>13177</v>
      </c>
      <c r="H13" s="183" t="s">
        <v>15848</v>
      </c>
      <c r="I13" s="184" t="s">
        <v>1773</v>
      </c>
      <c r="J13" s="184" t="s">
        <v>3104</v>
      </c>
      <c r="K13" s="224" t="s">
        <v>15849</v>
      </c>
      <c r="L13" s="224" t="s">
        <v>15850</v>
      </c>
      <c r="M13" s="224" t="s">
        <v>15826</v>
      </c>
      <c r="N13" s="224" t="s">
        <v>15827</v>
      </c>
      <c r="O13" s="224" t="s">
        <v>15851</v>
      </c>
      <c r="P13" s="185" t="s">
        <v>12407</v>
      </c>
      <c r="Q13" s="225" t="s">
        <v>15829</v>
      </c>
      <c r="R13" s="182" t="str">
        <f ca="1">IF(ISERROR($V13),"",OFFSET('Smelter Look-up'!$C$4,$V13-4,0)&amp;"")</f>
        <v>Aurubis Beerse</v>
      </c>
      <c r="S13" s="181" t="str">
        <f t="shared" ca="1" si="2"/>
        <v>BE</v>
      </c>
      <c r="T13" s="181" t="str">
        <f ca="1">IF(B13="","",IF(ISERROR(MATCH($J13,SorP!$B$1:$B$6226,0)),"",INDIRECT("'SorP'!$A$"&amp;MATCH($S13&amp;$J13,SorP!C:C,0))))</f>
        <v>BE-VAN</v>
      </c>
      <c r="U13" s="201"/>
      <c r="V13" s="226">
        <f>IF(C13="",NA(),IF(OR(C13="Smelter not listed",C13="Smelter not yet identified"),MATCH($B13&amp;$D13,'Smelter Look-up'!$J:$J,0),MATCH($B13&amp;$C13,'Smelter Look-up'!$J:$J,0)))</f>
        <v>404</v>
      </c>
      <c r="X13" s="227">
        <f t="shared" si="3"/>
        <v>0</v>
      </c>
      <c r="AB13" s="228" t="str">
        <f t="shared" si="4"/>
        <v>TinAurubis Beerse</v>
      </c>
    </row>
    <row r="14" spans="1:34" s="227" customFormat="1" ht="20.100000000000001" customHeight="1">
      <c r="A14" s="262" t="s">
        <v>15852</v>
      </c>
      <c r="B14" s="182" t="s">
        <v>1099</v>
      </c>
      <c r="C14" s="186" t="s">
        <v>15853</v>
      </c>
      <c r="D14" s="230" t="s">
        <v>15853</v>
      </c>
      <c r="E14" s="182" t="s">
        <v>1064</v>
      </c>
      <c r="F14" s="182" t="s">
        <v>15852</v>
      </c>
      <c r="G14" s="182" t="s">
        <v>13177</v>
      </c>
      <c r="H14" s="183" t="s">
        <v>15830</v>
      </c>
      <c r="I14" s="184" t="s">
        <v>15840</v>
      </c>
      <c r="J14" s="184" t="s">
        <v>15840</v>
      </c>
      <c r="K14" s="224"/>
      <c r="L14" s="224"/>
      <c r="M14" s="224"/>
      <c r="N14" s="224"/>
      <c r="O14" s="224"/>
      <c r="P14" s="185"/>
      <c r="Q14" s="225"/>
      <c r="R14" s="182" t="str">
        <f ca="1">IF(ISERROR($V14),"",OFFSET('Smelter Look-up'!$C$4,$V14-4,0)&amp;"")</f>
        <v/>
      </c>
      <c r="S14" s="181" t="str">
        <f t="shared" ca="1" si="2"/>
        <v>BE</v>
      </c>
      <c r="T14" s="181" t="str">
        <f ca="1">IF(B14="","",IF(ISERROR(MATCH($J14,SorP!$B$1:$B$6226,0)),"",INDIRECT("'SorP'!$A$"&amp;MATCH($S14&amp;$J14,SorP!C:C,0))))</f>
        <v/>
      </c>
      <c r="U14" s="201"/>
      <c r="V14" s="226" t="e">
        <f>IF(C14="",NA(),IF(OR(C14="Smelter not listed",C14="Smelter not yet identified"),MATCH($B14&amp;$D14,'Smelter Look-up'!$J:$J,0),MATCH($B14&amp;$C14,'Smelter Look-up'!$J:$J,0)))</f>
        <v>#N/A</v>
      </c>
      <c r="X14" s="227">
        <f t="shared" si="3"/>
        <v>0</v>
      </c>
      <c r="AB14" s="228" t="str">
        <f t="shared" si="4"/>
        <v>TinJean Goldschmidt International (JGI Hydrometal)</v>
      </c>
    </row>
    <row r="15" spans="1:34" s="227" customFormat="1" ht="20.100000000000001" customHeight="1">
      <c r="A15" s="262" t="s">
        <v>2214</v>
      </c>
      <c r="B15" s="182" t="s">
        <v>1098</v>
      </c>
      <c r="C15" s="186" t="s">
        <v>14929</v>
      </c>
      <c r="D15" s="230" t="s">
        <v>14929</v>
      </c>
      <c r="E15" s="182" t="s">
        <v>1064</v>
      </c>
      <c r="F15" s="182" t="s">
        <v>2214</v>
      </c>
      <c r="G15" s="182" t="s">
        <v>13177</v>
      </c>
      <c r="H15" s="183" t="s">
        <v>15830</v>
      </c>
      <c r="I15" s="184" t="s">
        <v>1642</v>
      </c>
      <c r="J15" s="184" t="s">
        <v>3104</v>
      </c>
      <c r="K15" s="224"/>
      <c r="L15" s="224"/>
      <c r="M15" s="224"/>
      <c r="N15" s="224"/>
      <c r="O15" s="224" t="s">
        <v>15854</v>
      </c>
      <c r="P15" s="185"/>
      <c r="Q15" s="225"/>
      <c r="R15" s="182" t="str">
        <f ca="1">IF(ISERROR($V15),"",OFFSET('Smelter Look-up'!$C$4,$V15-4,0)&amp;"")</f>
        <v>Industrial Refining Company</v>
      </c>
      <c r="S15" s="181" t="str">
        <f t="shared" ca="1" si="2"/>
        <v>BE</v>
      </c>
      <c r="T15" s="181" t="str">
        <f ca="1">IF(B15="","",IF(ISERROR(MATCH($J15,SorP!$B$1:$B$6226,0)),"",INDIRECT("'SorP'!$A$"&amp;MATCH($S15&amp;$J15,SorP!C:C,0))))</f>
        <v>BE-VAN</v>
      </c>
      <c r="U15" s="201"/>
      <c r="V15" s="226">
        <f>IF(C15="",NA(),IF(OR(C15="Smelter not listed",C15="Smelter not yet identified"),MATCH($B15&amp;$D15,'Smelter Look-up'!$J:$J,0),MATCH($B15&amp;$C15,'Smelter Look-up'!$J:$J,0)))</f>
        <v>120</v>
      </c>
      <c r="X15" s="227">
        <f t="shared" si="3"/>
        <v>0</v>
      </c>
      <c r="AB15" s="228" t="str">
        <f t="shared" si="4"/>
        <v>GoldIndustrial Refining Company</v>
      </c>
    </row>
    <row r="16" spans="1:34" s="227" customFormat="1" ht="20.100000000000001" customHeight="1">
      <c r="A16" s="262" t="s">
        <v>15855</v>
      </c>
      <c r="B16" s="182" t="s">
        <v>1098</v>
      </c>
      <c r="C16" s="186" t="s">
        <v>15856</v>
      </c>
      <c r="D16" s="230" t="s">
        <v>15856</v>
      </c>
      <c r="E16" s="182" t="s">
        <v>1064</v>
      </c>
      <c r="F16" s="182" t="s">
        <v>15855</v>
      </c>
      <c r="G16" s="182" t="s">
        <v>13177</v>
      </c>
      <c r="H16" s="183" t="s">
        <v>15830</v>
      </c>
      <c r="I16" s="184" t="s">
        <v>1642</v>
      </c>
      <c r="J16" s="184" t="s">
        <v>3104</v>
      </c>
      <c r="K16" s="224"/>
      <c r="L16" s="224"/>
      <c r="M16" s="224"/>
      <c r="N16" s="224"/>
      <c r="O16" s="224"/>
      <c r="P16" s="185"/>
      <c r="Q16" s="225"/>
      <c r="R16" s="182" t="str">
        <f ca="1">IF(ISERROR($V16),"",OFFSET('Smelter Look-up'!$C$4,$V16-4,0)&amp;"")</f>
        <v/>
      </c>
      <c r="S16" s="181" t="str">
        <f t="shared" ca="1" si="2"/>
        <v>BE</v>
      </c>
      <c r="T16" s="181" t="str">
        <f ca="1">IF(B16="","",IF(ISERROR(MATCH($J16,SorP!$B$1:$B$6226,0)),"",INDIRECT("'SorP'!$A$"&amp;MATCH($S16&amp;$J16,SorP!C:C,0))))</f>
        <v>BE-VAN</v>
      </c>
      <c r="U16" s="201"/>
      <c r="V16" s="226" t="e">
        <f>IF(C16="",NA(),IF(OR(C16="Smelter not listed",C16="Smelter not yet identified"),MATCH($B16&amp;$D16,'Smelter Look-up'!$J:$J,0),MATCH($B16&amp;$C16,'Smelter Look-up'!$J:$J,0)))</f>
        <v>#N/A</v>
      </c>
      <c r="X16" s="227">
        <f t="shared" si="3"/>
        <v>0</v>
      </c>
      <c r="AB16" s="228" t="str">
        <f t="shared" si="4"/>
        <v>GoldValue Trading</v>
      </c>
    </row>
    <row r="17" spans="1:28" s="227" customFormat="1" ht="20.100000000000001" customHeight="1">
      <c r="A17" s="262" t="s">
        <v>745</v>
      </c>
      <c r="B17" s="182" t="s">
        <v>1099</v>
      </c>
      <c r="C17" s="186" t="s">
        <v>814</v>
      </c>
      <c r="D17" s="230" t="s">
        <v>814</v>
      </c>
      <c r="E17" s="182" t="s">
        <v>2382</v>
      </c>
      <c r="F17" s="182" t="s">
        <v>745</v>
      </c>
      <c r="G17" s="182" t="s">
        <v>13177</v>
      </c>
      <c r="H17" s="183" t="s">
        <v>15857</v>
      </c>
      <c r="I17" s="184" t="s">
        <v>1728</v>
      </c>
      <c r="J17" s="184" t="s">
        <v>1728</v>
      </c>
      <c r="K17" s="224" t="s">
        <v>15858</v>
      </c>
      <c r="L17" s="224" t="s">
        <v>15859</v>
      </c>
      <c r="M17" s="224" t="s">
        <v>15833</v>
      </c>
      <c r="N17" s="224" t="s">
        <v>15860</v>
      </c>
      <c r="O17" s="224" t="s">
        <v>15861</v>
      </c>
      <c r="P17" s="185" t="s">
        <v>476</v>
      </c>
      <c r="Q17" s="225" t="s">
        <v>15829</v>
      </c>
      <c r="R17" s="182" t="str">
        <f ca="1">IF(ISERROR($V17),"",OFFSET('Smelter Look-up'!$C$4,$V17-4,0)&amp;"")</f>
        <v>EM Vinto</v>
      </c>
      <c r="S17" s="181" t="str">
        <f t="shared" ca="1" si="2"/>
        <v>BO</v>
      </c>
      <c r="T17" s="181" t="str">
        <f ca="1">IF(B17="","",IF(ISERROR(MATCH($J17,SorP!$B$1:$B$6226,0)),"",INDIRECT("'SorP'!$A$"&amp;MATCH($S17&amp;$J17,SorP!C:C,0))))</f>
        <v>BO-O</v>
      </c>
      <c r="U17" s="201"/>
      <c r="V17" s="226">
        <f>IF(C17="",NA(),IF(OR(C17="Smelter not listed",C17="Smelter not yet identified"),MATCH($B17&amp;$D17,'Smelter Look-up'!$J:$J,0),MATCH($B17&amp;$C17,'Smelter Look-up'!$J:$J,0)))</f>
        <v>428</v>
      </c>
      <c r="X17" s="227">
        <f t="shared" si="3"/>
        <v>0</v>
      </c>
      <c r="AB17" s="228" t="str">
        <f t="shared" si="4"/>
        <v>TinEM Vinto</v>
      </c>
    </row>
    <row r="18" spans="1:28" s="227" customFormat="1" ht="20.100000000000001" customHeight="1">
      <c r="A18" s="181" t="s">
        <v>758</v>
      </c>
      <c r="B18" s="182" t="s">
        <v>1099</v>
      </c>
      <c r="C18" s="186" t="s">
        <v>13715</v>
      </c>
      <c r="D18" s="230" t="s">
        <v>13715</v>
      </c>
      <c r="E18" s="182" t="s">
        <v>2382</v>
      </c>
      <c r="F18" s="182" t="s">
        <v>758</v>
      </c>
      <c r="G18" s="182" t="s">
        <v>13177</v>
      </c>
      <c r="H18" s="183" t="s">
        <v>15862</v>
      </c>
      <c r="I18" s="184" t="s">
        <v>1728</v>
      </c>
      <c r="J18" s="184" t="s">
        <v>1728</v>
      </c>
      <c r="K18" s="224" t="s">
        <v>15863</v>
      </c>
      <c r="L18" s="224" t="s">
        <v>15864</v>
      </c>
      <c r="M18" s="224" t="s">
        <v>15826</v>
      </c>
      <c r="N18" s="224"/>
      <c r="O18" s="224" t="s">
        <v>15865</v>
      </c>
      <c r="P18" s="185" t="s">
        <v>476</v>
      </c>
      <c r="Q18" s="225" t="s">
        <v>15829</v>
      </c>
      <c r="R18" s="182" t="str">
        <f ca="1">IF(ISERROR($V18),"",OFFSET('Smelter Look-up'!$C$4,$V18-4,0)&amp;"")</f>
        <v>Operaciones Metalurgicas S.A.</v>
      </c>
      <c r="S18" s="181" t="str">
        <f t="shared" ca="1" si="2"/>
        <v>BO</v>
      </c>
      <c r="T18" s="181" t="str">
        <f ca="1">IF(B18="","",IF(ISERROR(MATCH($J18,SorP!$B$1:$B$6226,0)),"",INDIRECT("'SorP'!$A$"&amp;MATCH($S18&amp;$J18,SorP!C:C,0))))</f>
        <v>BO-O</v>
      </c>
      <c r="U18" s="201"/>
      <c r="V18" s="226">
        <f>IF(C18="",NA(),IF(OR(C18="Smelter not listed",C18="Smelter not yet identified"),MATCH($B18&amp;$D18,'Smelter Look-up'!$J:$J,0),MATCH($B18&amp;$C18,'Smelter Look-up'!$J:$J,0)))</f>
        <v>493</v>
      </c>
      <c r="X18" s="227">
        <f t="shared" si="3"/>
        <v>0</v>
      </c>
      <c r="AB18" s="228" t="str">
        <f t="shared" si="4"/>
        <v>TinOperaciones Metalurgicas S.A.</v>
      </c>
    </row>
    <row r="19" spans="1:28" s="227" customFormat="1" ht="76.5">
      <c r="A19" s="181" t="s">
        <v>636</v>
      </c>
      <c r="B19" s="182" t="s">
        <v>1098</v>
      </c>
      <c r="C19" s="186" t="s">
        <v>12375</v>
      </c>
      <c r="D19" s="230" t="s">
        <v>12375</v>
      </c>
      <c r="E19" s="182" t="s">
        <v>1065</v>
      </c>
      <c r="F19" s="182" t="s">
        <v>636</v>
      </c>
      <c r="G19" s="182" t="s">
        <v>13177</v>
      </c>
      <c r="H19" s="183" t="s">
        <v>15866</v>
      </c>
      <c r="I19" s="184" t="s">
        <v>1514</v>
      </c>
      <c r="J19" s="184" t="s">
        <v>1515</v>
      </c>
      <c r="K19" s="224" t="s">
        <v>15867</v>
      </c>
      <c r="L19" s="224" t="s">
        <v>15868</v>
      </c>
      <c r="M19" s="224" t="s">
        <v>15869</v>
      </c>
      <c r="N19" s="224" t="s">
        <v>15827</v>
      </c>
      <c r="O19" s="224" t="s">
        <v>15870</v>
      </c>
      <c r="P19" s="185" t="s">
        <v>12407</v>
      </c>
      <c r="Q19" s="225" t="s">
        <v>15871</v>
      </c>
      <c r="R19" s="182" t="str">
        <f ca="1">IF(ISERROR($V19),"",OFFSET('Smelter Look-up'!$C$4,$V19-4,0)&amp;"")</f>
        <v>AngloGold Ashanti Corrego do Sitio Mineracao</v>
      </c>
      <c r="S19" s="181" t="str">
        <f t="shared" ca="1" si="2"/>
        <v>BR</v>
      </c>
      <c r="T19" s="181" t="str">
        <f ca="1">IF(B19="","",IF(ISERROR(MATCH($J19,SorP!$B$1:$B$6226,0)),"",INDIRECT("'SorP'!$A$"&amp;MATCH($S19&amp;$J19,SorP!C:C,0))))</f>
        <v>BR-MG</v>
      </c>
      <c r="U19" s="201"/>
      <c r="V19" s="226">
        <f>IF(C19="",NA(),IF(OR(C19="Smelter not listed",C19="Smelter not yet identified"),MATCH($B19&amp;$D19,'Smelter Look-up'!$J:$J,0),MATCH($B19&amp;$C19,'Smelter Look-up'!$J:$J,0)))</f>
        <v>23</v>
      </c>
      <c r="X19" s="227">
        <f t="shared" si="3"/>
        <v>0</v>
      </c>
      <c r="AB19" s="228" t="str">
        <f t="shared" si="4"/>
        <v>GoldAngloGold Ashanti Corrego do Sitio Mineracao</v>
      </c>
    </row>
    <row r="20" spans="1:28" s="227" customFormat="1" ht="25.5">
      <c r="A20" s="181" t="s">
        <v>746</v>
      </c>
      <c r="B20" s="182" t="s">
        <v>1099</v>
      </c>
      <c r="C20" s="186" t="s">
        <v>12373</v>
      </c>
      <c r="D20" s="230" t="s">
        <v>12373</v>
      </c>
      <c r="E20" s="182" t="s">
        <v>1065</v>
      </c>
      <c r="F20" s="182" t="s">
        <v>746</v>
      </c>
      <c r="G20" s="182" t="s">
        <v>13177</v>
      </c>
      <c r="H20" s="183" t="s">
        <v>15872</v>
      </c>
      <c r="I20" s="184" t="s">
        <v>1725</v>
      </c>
      <c r="J20" s="184" t="s">
        <v>1729</v>
      </c>
      <c r="K20" s="224" t="s">
        <v>15873</v>
      </c>
      <c r="L20" s="224" t="s">
        <v>15874</v>
      </c>
      <c r="M20" s="224" t="s">
        <v>15875</v>
      </c>
      <c r="N20" s="224" t="s">
        <v>15827</v>
      </c>
      <c r="O20" s="224" t="s">
        <v>15876</v>
      </c>
      <c r="P20" s="185" t="s">
        <v>476</v>
      </c>
      <c r="Q20" s="225" t="s">
        <v>15829</v>
      </c>
      <c r="R20" s="182" t="str">
        <f ca="1">IF(ISERROR($V20),"",OFFSET('Smelter Look-up'!$C$4,$V20-4,0)&amp;"")</f>
        <v>Estanho de Rondonia S.A.</v>
      </c>
      <c r="S20" s="181" t="str">
        <f t="shared" ca="1" si="2"/>
        <v>BR</v>
      </c>
      <c r="T20" s="181" t="str">
        <f ca="1">IF(B20="","",IF(ISERROR(MATCH($J20,SorP!$B$1:$B$6226,0)),"",INDIRECT("'SorP'!$A$"&amp;MATCH($S20&amp;$J20,SorP!C:C,0))))</f>
        <v>BR-RO</v>
      </c>
      <c r="U20" s="201"/>
      <c r="V20" s="226">
        <f>IF(C20="",NA(),IF(OR(C20="Smelter not listed",C20="Smelter not yet identified"),MATCH($B20&amp;$D20,'Smelter Look-up'!$J:$J,0),MATCH($B20&amp;$C20,'Smelter Look-up'!$J:$J,0)))</f>
        <v>432</v>
      </c>
      <c r="X20" s="227">
        <f t="shared" si="3"/>
        <v>0</v>
      </c>
      <c r="AB20" s="228" t="str">
        <f t="shared" si="4"/>
        <v>TinEstanho de Rondonia S.A.</v>
      </c>
    </row>
    <row r="21" spans="1:28" s="227" customFormat="1" ht="38.25">
      <c r="A21" s="181" t="s">
        <v>733</v>
      </c>
      <c r="B21" s="182" t="s">
        <v>1100</v>
      </c>
      <c r="C21" s="186" t="s">
        <v>15301</v>
      </c>
      <c r="D21" s="230" t="s">
        <v>15301</v>
      </c>
      <c r="E21" s="182" t="s">
        <v>1065</v>
      </c>
      <c r="F21" s="182" t="s">
        <v>733</v>
      </c>
      <c r="G21" s="182" t="s">
        <v>13177</v>
      </c>
      <c r="H21" s="183" t="s">
        <v>15877</v>
      </c>
      <c r="I21" s="184" t="s">
        <v>1683</v>
      </c>
      <c r="J21" s="184" t="s">
        <v>1515</v>
      </c>
      <c r="K21" s="224" t="s">
        <v>15878</v>
      </c>
      <c r="L21" s="224" t="s">
        <v>15879</v>
      </c>
      <c r="M21" s="224"/>
      <c r="N21" s="224" t="s">
        <v>15827</v>
      </c>
      <c r="O21" s="224" t="s">
        <v>15880</v>
      </c>
      <c r="P21" s="185" t="s">
        <v>476</v>
      </c>
      <c r="Q21" s="225" t="s">
        <v>15829</v>
      </c>
      <c r="R21" s="182" t="str">
        <f ca="1">IF(ISERROR($V21),"",OFFSET('Smelter Look-up'!$C$4,$V21-4,0)&amp;"")</f>
        <v>AMG Brasil</v>
      </c>
      <c r="S21" s="181" t="str">
        <f t="shared" ca="1" si="2"/>
        <v>BR</v>
      </c>
      <c r="T21" s="181" t="str">
        <f ca="1">IF(B21="","",IF(ISERROR(MATCH($J21,SorP!$B$1:$B$6226,0)),"",INDIRECT("'SorP'!$A$"&amp;MATCH($S21&amp;$J21,SorP!C:C,0))))</f>
        <v>BR-MG</v>
      </c>
      <c r="U21" s="201"/>
      <c r="V21" s="226">
        <f>IF(C21="",NA(),IF(OR(C21="Smelter not listed",C21="Smelter not yet identified"),MATCH($B21&amp;$D21,'Smelter Look-up'!$J:$J,0),MATCH($B21&amp;$C21,'Smelter Look-up'!$J:$J,0)))</f>
        <v>333</v>
      </c>
      <c r="X21" s="227">
        <f t="shared" si="3"/>
        <v>0</v>
      </c>
      <c r="AB21" s="228" t="str">
        <f t="shared" si="4"/>
        <v>TantalumAMG Brasil</v>
      </c>
    </row>
    <row r="22" spans="1:28" s="227" customFormat="1" ht="51">
      <c r="A22" s="181" t="s">
        <v>753</v>
      </c>
      <c r="B22" s="182" t="s">
        <v>1099</v>
      </c>
      <c r="C22" s="186" t="s">
        <v>12377</v>
      </c>
      <c r="D22" s="230" t="s">
        <v>12377</v>
      </c>
      <c r="E22" s="182" t="s">
        <v>1065</v>
      </c>
      <c r="F22" s="182" t="s">
        <v>753</v>
      </c>
      <c r="G22" s="182" t="s">
        <v>13177</v>
      </c>
      <c r="H22" s="183" t="s">
        <v>15881</v>
      </c>
      <c r="I22" s="184" t="s">
        <v>15698</v>
      </c>
      <c r="J22" s="184" t="s">
        <v>1640</v>
      </c>
      <c r="K22" s="224" t="s">
        <v>15882</v>
      </c>
      <c r="L22" s="224" t="s">
        <v>15883</v>
      </c>
      <c r="M22" s="224" t="s">
        <v>15826</v>
      </c>
      <c r="N22" s="224" t="s">
        <v>15827</v>
      </c>
      <c r="O22" s="224" t="s">
        <v>15884</v>
      </c>
      <c r="P22" s="185" t="s">
        <v>12407</v>
      </c>
      <c r="Q22" s="225" t="s">
        <v>15829</v>
      </c>
      <c r="R22" s="182" t="str">
        <f ca="1">IF(ISERROR($V22),"",OFFSET('Smelter Look-up'!$C$4,$V22-4,0)&amp;"")</f>
        <v>Mineracao Taboca S.A.</v>
      </c>
      <c r="S22" s="181" t="str">
        <f t="shared" ca="1" si="2"/>
        <v>BR</v>
      </c>
      <c r="T22" s="181" t="str">
        <f ca="1">IF(B22="","",IF(ISERROR(MATCH($J22,SorP!$B$1:$B$6226,0)),"",INDIRECT("'SorP'!$A$"&amp;MATCH($S22&amp;$J22,SorP!C:C,0))))</f>
        <v>BR-SP</v>
      </c>
      <c r="U22" s="201"/>
      <c r="V22" s="226">
        <f>IF(C22="",NA(),IF(OR(C22="Smelter not listed",C22="Smelter not yet identified"),MATCH($B22&amp;$D22,'Smelter Look-up'!$J:$J,0),MATCH($B22&amp;$C22,'Smelter Look-up'!$J:$J,0)))</f>
        <v>476</v>
      </c>
      <c r="X22" s="227">
        <f t="shared" si="3"/>
        <v>0</v>
      </c>
      <c r="AB22" s="228" t="str">
        <f t="shared" si="4"/>
        <v>TinMineracao Taboca S.A.</v>
      </c>
    </row>
    <row r="23" spans="1:28" s="227" customFormat="1" ht="25.5">
      <c r="A23" s="181" t="s">
        <v>735</v>
      </c>
      <c r="B23" s="182" t="s">
        <v>1100</v>
      </c>
      <c r="C23" s="186" t="s">
        <v>12377</v>
      </c>
      <c r="D23" s="230" t="s">
        <v>12377</v>
      </c>
      <c r="E23" s="182" t="s">
        <v>1065</v>
      </c>
      <c r="F23" s="182" t="s">
        <v>735</v>
      </c>
      <c r="G23" s="182" t="s">
        <v>13177</v>
      </c>
      <c r="H23" s="183" t="s">
        <v>15885</v>
      </c>
      <c r="I23" s="184" t="s">
        <v>1686</v>
      </c>
      <c r="J23" s="184" t="s">
        <v>1687</v>
      </c>
      <c r="K23" s="224" t="s">
        <v>15882</v>
      </c>
      <c r="L23" s="224" t="s">
        <v>15883</v>
      </c>
      <c r="M23" s="224" t="s">
        <v>15886</v>
      </c>
      <c r="N23" s="224" t="s">
        <v>15827</v>
      </c>
      <c r="O23" s="224" t="s">
        <v>15865</v>
      </c>
      <c r="P23" s="185" t="s">
        <v>476</v>
      </c>
      <c r="Q23" s="225" t="s">
        <v>15829</v>
      </c>
      <c r="R23" s="182" t="str">
        <f ca="1">IF(ISERROR($V23),"",OFFSET('Smelter Look-up'!$C$4,$V23-4,0)&amp;"")</f>
        <v>Mineracao Taboca S.A.</v>
      </c>
      <c r="S23" s="181" t="str">
        <f t="shared" ca="1" si="2"/>
        <v>BR</v>
      </c>
      <c r="T23" s="181" t="str">
        <f ca="1">IF(B23="","",IF(ISERROR(MATCH($J23,SorP!$B$1:$B$6226,0)),"",INDIRECT("'SorP'!$A$"&amp;MATCH($S23&amp;$J23,SorP!C:C,0))))</f>
        <v>BR-AM</v>
      </c>
      <c r="U23" s="201"/>
      <c r="V23" s="226">
        <f>IF(C23="",NA(),IF(OR(C23="Smelter not listed",C23="Smelter not yet identified"),MATCH($B23&amp;$D23,'Smelter Look-up'!$J:$J,0),MATCH($B23&amp;$C23,'Smelter Look-up'!$J:$J,0)))</f>
        <v>363</v>
      </c>
      <c r="X23" s="227">
        <f t="shared" si="3"/>
        <v>0</v>
      </c>
      <c r="AB23" s="228" t="str">
        <f t="shared" si="4"/>
        <v>TantalumMineracao Taboca S.A.</v>
      </c>
    </row>
    <row r="24" spans="1:28" s="227" customFormat="1" ht="216.75">
      <c r="A24" s="181" t="s">
        <v>15887</v>
      </c>
      <c r="B24" s="182" t="s">
        <v>1099</v>
      </c>
      <c r="C24" s="186" t="s">
        <v>15888</v>
      </c>
      <c r="D24" s="230" t="s">
        <v>15888</v>
      </c>
      <c r="E24" s="182" t="s">
        <v>1065</v>
      </c>
      <c r="F24" s="182" t="s">
        <v>15887</v>
      </c>
      <c r="G24" s="182" t="s">
        <v>13177</v>
      </c>
      <c r="H24" s="183" t="s">
        <v>15830</v>
      </c>
      <c r="I24" s="184" t="s">
        <v>15889</v>
      </c>
      <c r="J24" s="184" t="s">
        <v>15890</v>
      </c>
      <c r="K24" s="224" t="s">
        <v>15891</v>
      </c>
      <c r="L24" s="224" t="s">
        <v>15892</v>
      </c>
      <c r="M24" s="224" t="s">
        <v>15833</v>
      </c>
      <c r="N24" s="224" t="s">
        <v>15827</v>
      </c>
      <c r="O24" s="224" t="s">
        <v>15893</v>
      </c>
      <c r="P24" s="185" t="s">
        <v>12407</v>
      </c>
      <c r="Q24" s="225" t="s">
        <v>15829</v>
      </c>
      <c r="R24" s="182" t="str">
        <f ca="1">IF(ISERROR($V24),"",OFFSET('Smelter Look-up'!$C$4,$V24-4,0)&amp;"")</f>
        <v/>
      </c>
      <c r="S24" s="181" t="str">
        <f t="shared" ca="1" si="2"/>
        <v>BR</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si="3"/>
        <v>0</v>
      </c>
      <c r="AB24" s="228" t="str">
        <f t="shared" si="4"/>
        <v>TinSoft Metais Ltda.</v>
      </c>
    </row>
    <row r="25" spans="1:28" s="227" customFormat="1" ht="102">
      <c r="A25" s="181" t="s">
        <v>764</v>
      </c>
      <c r="B25" s="182" t="s">
        <v>1099</v>
      </c>
      <c r="C25" s="186" t="s">
        <v>2484</v>
      </c>
      <c r="D25" s="230" t="s">
        <v>2484</v>
      </c>
      <c r="E25" s="182" t="s">
        <v>1065</v>
      </c>
      <c r="F25" s="182" t="s">
        <v>764</v>
      </c>
      <c r="G25" s="182" t="s">
        <v>13177</v>
      </c>
      <c r="H25" s="183" t="s">
        <v>15830</v>
      </c>
      <c r="I25" s="184" t="s">
        <v>1725</v>
      </c>
      <c r="J25" s="184" t="s">
        <v>1729</v>
      </c>
      <c r="K25" s="224" t="s">
        <v>15894</v>
      </c>
      <c r="L25" s="224" t="s">
        <v>15895</v>
      </c>
      <c r="M25" s="224" t="s">
        <v>15875</v>
      </c>
      <c r="N25" s="224" t="s">
        <v>15827</v>
      </c>
      <c r="O25" s="224" t="s">
        <v>15896</v>
      </c>
      <c r="P25" s="185" t="s">
        <v>12407</v>
      </c>
      <c r="Q25" s="225" t="s">
        <v>15829</v>
      </c>
      <c r="R25" s="182" t="str">
        <f ca="1">IF(ISERROR($V25),"",OFFSET('Smelter Look-up'!$C$4,$V25-4,0)&amp;"")</f>
        <v>White Solder Metalurgia e Mineracao Ltda.</v>
      </c>
      <c r="S25" s="181" t="str">
        <f t="shared" ca="1" si="2"/>
        <v>BR</v>
      </c>
      <c r="T25" s="181" t="str">
        <f ca="1">IF(B25="","",IF(ISERROR(MATCH($J25,SorP!$B$1:$B$6226,0)),"",INDIRECT("'SorP'!$A$"&amp;MATCH($S25&amp;$J25,SorP!C:C,0))))</f>
        <v>BR-RO</v>
      </c>
      <c r="U25" s="201"/>
      <c r="V25" s="226">
        <f>IF(C25="",NA(),IF(OR(C25="Smelter not listed",C25="Smelter not yet identified"),MATCH($B25&amp;$D25,'Smelter Look-up'!$J:$J,0),MATCH($B25&amp;$C25,'Smelter Look-up'!$J:$J,0)))</f>
        <v>530</v>
      </c>
      <c r="X25" s="227">
        <f t="shared" si="3"/>
        <v>0</v>
      </c>
      <c r="AB25" s="228" t="str">
        <f t="shared" si="4"/>
        <v>TinWhite Solder Metalurgia e Mineracao Ltda.</v>
      </c>
    </row>
    <row r="26" spans="1:28" s="227" customFormat="1" ht="140.25">
      <c r="A26" s="181" t="s">
        <v>131</v>
      </c>
      <c r="B26" s="182" t="s">
        <v>1099</v>
      </c>
      <c r="C26" s="186" t="s">
        <v>2121</v>
      </c>
      <c r="D26" s="230" t="s">
        <v>2121</v>
      </c>
      <c r="E26" s="182" t="s">
        <v>1065</v>
      </c>
      <c r="F26" s="182" t="s">
        <v>131</v>
      </c>
      <c r="G26" s="182" t="s">
        <v>13177</v>
      </c>
      <c r="H26" s="183" t="s">
        <v>15897</v>
      </c>
      <c r="I26" s="184" t="s">
        <v>1683</v>
      </c>
      <c r="J26" s="184" t="s">
        <v>1515</v>
      </c>
      <c r="K26" s="224" t="s">
        <v>15898</v>
      </c>
      <c r="L26" s="224" t="s">
        <v>15899</v>
      </c>
      <c r="M26" s="224" t="s">
        <v>15826</v>
      </c>
      <c r="N26" s="224" t="s">
        <v>15827</v>
      </c>
      <c r="O26" s="224" t="s">
        <v>15900</v>
      </c>
      <c r="P26" s="185" t="s">
        <v>12407</v>
      </c>
      <c r="Q26" s="225" t="s">
        <v>15829</v>
      </c>
      <c r="R26" s="182" t="str">
        <f ca="1">IF(ISERROR($V26),"",OFFSET('Smelter Look-up'!$C$4,$V26-4,0)&amp;"")</f>
        <v>Magnu's Minerais Metais e Ligas Ltda.</v>
      </c>
      <c r="S26" s="181" t="str">
        <f t="shared" ca="1" si="2"/>
        <v>BR</v>
      </c>
      <c r="T26" s="181" t="str">
        <f ca="1">IF(B26="","",IF(ISERROR(MATCH($J26,SorP!$B$1:$B$6226,0)),"",INDIRECT("'SorP'!$A$"&amp;MATCH($S26&amp;$J26,SorP!C:C,0))))</f>
        <v>BR-MG</v>
      </c>
      <c r="U26" s="201"/>
      <c r="V26" s="226">
        <f>IF(C26="",NA(),IF(OR(C26="Smelter not listed",C26="Smelter not yet identified"),MATCH($B26&amp;$D26,'Smelter Look-up'!$J:$J,0),MATCH($B26&amp;$C26,'Smelter Look-up'!$J:$J,0)))</f>
        <v>467</v>
      </c>
      <c r="X26" s="227">
        <f t="shared" si="3"/>
        <v>0</v>
      </c>
      <c r="AB26" s="228" t="str">
        <f t="shared" si="4"/>
        <v>TinMagnu's Minerais Metais e Ligas Ltda.</v>
      </c>
    </row>
    <row r="27" spans="1:28" s="227" customFormat="1" ht="76.5">
      <c r="A27" s="181" t="s">
        <v>1771</v>
      </c>
      <c r="B27" s="182" t="s">
        <v>1099</v>
      </c>
      <c r="C27" s="186" t="s">
        <v>12381</v>
      </c>
      <c r="D27" s="230" t="s">
        <v>12381</v>
      </c>
      <c r="E27" s="182" t="s">
        <v>1065</v>
      </c>
      <c r="F27" s="182" t="s">
        <v>1771</v>
      </c>
      <c r="G27" s="182" t="s">
        <v>13177</v>
      </c>
      <c r="H27" s="183" t="s">
        <v>15901</v>
      </c>
      <c r="I27" s="184" t="s">
        <v>1683</v>
      </c>
      <c r="J27" s="184" t="s">
        <v>1717</v>
      </c>
      <c r="K27" s="224" t="s">
        <v>15902</v>
      </c>
      <c r="L27" s="224" t="s">
        <v>15903</v>
      </c>
      <c r="M27" s="224" t="s">
        <v>15886</v>
      </c>
      <c r="N27" s="224" t="s">
        <v>15827</v>
      </c>
      <c r="O27" s="224" t="s">
        <v>15904</v>
      </c>
      <c r="P27" s="185" t="s">
        <v>476</v>
      </c>
      <c r="Q27" s="225" t="s">
        <v>15829</v>
      </c>
      <c r="R27" s="182" t="str">
        <f ca="1">IF(ISERROR($V27),"",OFFSET('Smelter Look-up'!$C$4,$V27-4,0)&amp;"")</f>
        <v>Resind Industria e Comercio Ltda.</v>
      </c>
      <c r="S27" s="181" t="str">
        <f t="shared" ca="1" si="2"/>
        <v>BR</v>
      </c>
      <c r="T27" s="181" t="str">
        <f ca="1">IF(B27="","",IF(ISERROR(MATCH($J27,SorP!$B$1:$B$6226,0)),"",INDIRECT("'SorP'!$A$"&amp;MATCH($S27&amp;$J27,SorP!C:C,0))))</f>
        <v>BR-MG</v>
      </c>
      <c r="U27" s="201"/>
      <c r="V27" s="226">
        <f>IF(C27="",NA(),IF(OR(C27="Smelter not listed",C27="Smelter not yet identified"),MATCH($B27&amp;$D27,'Smelter Look-up'!$J:$J,0),MATCH($B27&amp;$C27,'Smelter Look-up'!$J:$J,0)))</f>
        <v>512</v>
      </c>
      <c r="X27" s="227">
        <f t="shared" si="3"/>
        <v>0</v>
      </c>
      <c r="AB27" s="228" t="str">
        <f t="shared" si="4"/>
        <v>TinResind Industria e Comercio Ltda.</v>
      </c>
    </row>
    <row r="28" spans="1:28" s="227" customFormat="1" ht="127.5">
      <c r="A28" s="181" t="s">
        <v>1716</v>
      </c>
      <c r="B28" s="182" t="s">
        <v>1100</v>
      </c>
      <c r="C28" s="186" t="s">
        <v>12381</v>
      </c>
      <c r="D28" s="230" t="s">
        <v>12381</v>
      </c>
      <c r="E28" s="182" t="s">
        <v>1065</v>
      </c>
      <c r="F28" s="182" t="s">
        <v>1716</v>
      </c>
      <c r="G28" s="182" t="s">
        <v>13177</v>
      </c>
      <c r="H28" s="183" t="s">
        <v>15901</v>
      </c>
      <c r="I28" s="184" t="s">
        <v>1683</v>
      </c>
      <c r="J28" s="184" t="s">
        <v>1717</v>
      </c>
      <c r="K28" s="224" t="s">
        <v>15902</v>
      </c>
      <c r="L28" s="224" t="s">
        <v>15903</v>
      </c>
      <c r="M28" s="224" t="s">
        <v>15886</v>
      </c>
      <c r="N28" s="224" t="s">
        <v>15827</v>
      </c>
      <c r="O28" s="224" t="s">
        <v>15905</v>
      </c>
      <c r="P28" s="185" t="s">
        <v>476</v>
      </c>
      <c r="Q28" s="225" t="s">
        <v>15829</v>
      </c>
      <c r="R28" s="182" t="str">
        <f ca="1">IF(ISERROR($V28),"",OFFSET('Smelter Look-up'!$C$4,$V28-4,0)&amp;"")</f>
        <v>Resind Industria e Comercio Ltda.</v>
      </c>
      <c r="S28" s="181" t="str">
        <f t="shared" ca="1" si="2"/>
        <v>BR</v>
      </c>
      <c r="T28" s="181" t="str">
        <f ca="1">IF(B28="","",IF(ISERROR(MATCH($J28,SorP!$B$1:$B$6226,0)),"",INDIRECT("'SorP'!$A$"&amp;MATCH($S28&amp;$J28,SorP!C:C,0))))</f>
        <v>BR-MG</v>
      </c>
      <c r="U28" s="201"/>
      <c r="V28" s="226">
        <f>IF(C28="",NA(),IF(OR(C28="Smelter not listed",C28="Smelter not yet identified"),MATCH($B28&amp;$D28,'Smelter Look-up'!$J:$J,0),MATCH($B28&amp;$C28,'Smelter Look-up'!$J:$J,0)))</f>
        <v>374</v>
      </c>
      <c r="X28" s="227">
        <f t="shared" si="3"/>
        <v>0</v>
      </c>
      <c r="AB28" s="228" t="str">
        <f t="shared" si="4"/>
        <v>TantalumResind Industria e Comercio Ltda.</v>
      </c>
    </row>
    <row r="29" spans="1:28" s="227" customFormat="1" ht="51">
      <c r="A29" s="181" t="s">
        <v>2483</v>
      </c>
      <c r="B29" s="182" t="s">
        <v>1099</v>
      </c>
      <c r="C29" s="186" t="s">
        <v>2482</v>
      </c>
      <c r="D29" s="230" t="s">
        <v>2482</v>
      </c>
      <c r="E29" s="182" t="s">
        <v>1065</v>
      </c>
      <c r="F29" s="182" t="s">
        <v>2483</v>
      </c>
      <c r="G29" s="182" t="s">
        <v>13177</v>
      </c>
      <c r="H29" s="183" t="s">
        <v>15906</v>
      </c>
      <c r="I29" s="184" t="s">
        <v>2491</v>
      </c>
      <c r="J29" s="184" t="s">
        <v>1640</v>
      </c>
      <c r="K29" s="224" t="s">
        <v>15907</v>
      </c>
      <c r="L29" s="224" t="s">
        <v>15908</v>
      </c>
      <c r="M29" s="224" t="s">
        <v>15875</v>
      </c>
      <c r="N29" s="224" t="s">
        <v>15827</v>
      </c>
      <c r="O29" s="224" t="s">
        <v>15909</v>
      </c>
      <c r="P29" s="185" t="s">
        <v>12407</v>
      </c>
      <c r="Q29" s="225" t="s">
        <v>15829</v>
      </c>
      <c r="R29" s="182" t="str">
        <f ca="1">IF(ISERROR($V29),"",OFFSET('Smelter Look-up'!$C$4,$V29-4,0)&amp;"")</f>
        <v>Super Ligas</v>
      </c>
      <c r="S29" s="181" t="str">
        <f t="shared" ca="1" si="2"/>
        <v>BR</v>
      </c>
      <c r="T29" s="181" t="str">
        <f ca="1">IF(B29="","",IF(ISERROR(MATCH($J29,SorP!$B$1:$B$6226,0)),"",INDIRECT("'SorP'!$A$"&amp;MATCH($S29&amp;$J29,SorP!C:C,0))))</f>
        <v>BR-SP</v>
      </c>
      <c r="U29" s="201"/>
      <c r="V29" s="226">
        <f>IF(C29="",NA(),IF(OR(C29="Smelter not listed",C29="Smelter not yet identified"),MATCH($B29&amp;$D29,'Smelter Look-up'!$J:$J,0),MATCH($B29&amp;$C29,'Smelter Look-up'!$J:$J,0)))</f>
        <v>517</v>
      </c>
      <c r="X29" s="227">
        <f t="shared" si="3"/>
        <v>0</v>
      </c>
      <c r="AB29" s="228" t="str">
        <f t="shared" si="4"/>
        <v>TinSuper Ligas</v>
      </c>
    </row>
    <row r="30" spans="1:28" s="227" customFormat="1" ht="51">
      <c r="A30" s="181" t="s">
        <v>13778</v>
      </c>
      <c r="B30" s="182" t="s">
        <v>1101</v>
      </c>
      <c r="C30" s="186" t="s">
        <v>13764</v>
      </c>
      <c r="D30" s="230" t="s">
        <v>13764</v>
      </c>
      <c r="E30" s="182" t="s">
        <v>1065</v>
      </c>
      <c r="F30" s="182" t="s">
        <v>13778</v>
      </c>
      <c r="G30" s="182" t="s">
        <v>13177</v>
      </c>
      <c r="H30" s="183" t="s">
        <v>15910</v>
      </c>
      <c r="I30" s="184" t="s">
        <v>13787</v>
      </c>
      <c r="J30" s="184" t="s">
        <v>3412</v>
      </c>
      <c r="K30" s="224" t="s">
        <v>15911</v>
      </c>
      <c r="L30" s="224" t="s">
        <v>15912</v>
      </c>
      <c r="M30" s="224" t="s">
        <v>15875</v>
      </c>
      <c r="N30" s="224" t="s">
        <v>15827</v>
      </c>
      <c r="O30" s="224" t="s">
        <v>15913</v>
      </c>
      <c r="P30" s="185" t="s">
        <v>476</v>
      </c>
      <c r="Q30" s="225" t="s">
        <v>15829</v>
      </c>
      <c r="R30" s="182" t="str">
        <f ca="1">IF(ISERROR($V30),"",OFFSET('Smelter Look-up'!$C$4,$V30-4,0)&amp;"")</f>
        <v>Cronimet Brasil Ltda</v>
      </c>
      <c r="S30" s="181" t="str">
        <f t="shared" ca="1" si="2"/>
        <v>BR</v>
      </c>
      <c r="T30" s="181" t="str">
        <f ca="1">IF(B30="","",IF(ISERROR(MATCH($J30,SorP!$B$1:$B$6226,0)),"",INDIRECT("'SorP'!$A$"&amp;MATCH($S30&amp;$J30,SorP!C:C,0))))</f>
        <v>BR-SC</v>
      </c>
      <c r="U30" s="201"/>
      <c r="V30" s="226">
        <f>IF(C30="",NA(),IF(OR(C30="Smelter not listed",C30="Smelter not yet identified"),MATCH($B30&amp;$D30,'Smelter Look-up'!$J:$J,0),MATCH($B30&amp;$C30,'Smelter Look-up'!$J:$J,0)))</f>
        <v>571</v>
      </c>
      <c r="X30" s="227">
        <f t="shared" si="3"/>
        <v>0</v>
      </c>
      <c r="AB30" s="228" t="str">
        <f t="shared" si="4"/>
        <v>TungstenCronimet Brasil Ltda</v>
      </c>
    </row>
    <row r="31" spans="1:28" s="227" customFormat="1" ht="38.25">
      <c r="A31" s="181" t="s">
        <v>14955</v>
      </c>
      <c r="B31" s="182" t="s">
        <v>1099</v>
      </c>
      <c r="C31" s="186" t="s">
        <v>14954</v>
      </c>
      <c r="D31" s="230" t="s">
        <v>14954</v>
      </c>
      <c r="E31" s="182" t="s">
        <v>1065</v>
      </c>
      <c r="F31" s="182" t="s">
        <v>14955</v>
      </c>
      <c r="G31" s="182" t="s">
        <v>13177</v>
      </c>
      <c r="H31" s="183" t="s">
        <v>15914</v>
      </c>
      <c r="I31" s="184" t="s">
        <v>14985</v>
      </c>
      <c r="J31" s="184" t="s">
        <v>3412</v>
      </c>
      <c r="K31" s="224" t="s">
        <v>15915</v>
      </c>
      <c r="L31" s="224" t="s">
        <v>15916</v>
      </c>
      <c r="M31" s="224" t="s">
        <v>15875</v>
      </c>
      <c r="N31" s="224" t="s">
        <v>15917</v>
      </c>
      <c r="O31" s="224" t="s">
        <v>15918</v>
      </c>
      <c r="P31" s="185" t="s">
        <v>475</v>
      </c>
      <c r="Q31" s="225" t="s">
        <v>15829</v>
      </c>
      <c r="R31" s="182" t="str">
        <f ca="1">IF(ISERROR($V31),"",OFFSET('Smelter Look-up'!$C$4,$V31-4,0)&amp;"")</f>
        <v>CRM Fundicao De Metais E Comercio De Equipamentos Eletronicos Do Brasil Ltda</v>
      </c>
      <c r="S31" s="181" t="str">
        <f t="shared" ca="1" si="2"/>
        <v>BR</v>
      </c>
      <c r="T31" s="181" t="str">
        <f ca="1">IF(B31="","",IF(ISERROR(MATCH($J31,SorP!$B$1:$B$6226,0)),"",INDIRECT("'SorP'!$A$"&amp;MATCH($S31&amp;$J31,SorP!C:C,0))))</f>
        <v>BR-SC</v>
      </c>
      <c r="U31" s="201"/>
      <c r="V31" s="226">
        <f>IF(C31="",NA(),IF(OR(C31="Smelter not listed",C31="Smelter not yet identified"),MATCH($B31&amp;$D31,'Smelter Look-up'!$J:$J,0),MATCH($B31&amp;$C31,'Smelter Look-up'!$J:$J,0)))</f>
        <v>417</v>
      </c>
      <c r="X31" s="227">
        <f t="shared" si="3"/>
        <v>0</v>
      </c>
      <c r="AB31" s="228" t="str">
        <f t="shared" si="4"/>
        <v>TinCRM Fundicao De Metais E Comercio De Equipamentos Eletronicos Do Brasil Ltda</v>
      </c>
    </row>
    <row r="32" spans="1:28" s="227" customFormat="1" ht="25.5">
      <c r="A32" s="181" t="s">
        <v>15333</v>
      </c>
      <c r="B32" s="182" t="s">
        <v>1098</v>
      </c>
      <c r="C32" s="186" t="s">
        <v>15332</v>
      </c>
      <c r="D32" s="230" t="s">
        <v>15332</v>
      </c>
      <c r="E32" s="182" t="s">
        <v>1065</v>
      </c>
      <c r="F32" s="182" t="s">
        <v>15333</v>
      </c>
      <c r="G32" s="182" t="s">
        <v>13177</v>
      </c>
      <c r="H32" s="183"/>
      <c r="I32" s="184" t="s">
        <v>15368</v>
      </c>
      <c r="J32" s="184" t="s">
        <v>1687</v>
      </c>
      <c r="K32" s="224" t="s">
        <v>15919</v>
      </c>
      <c r="L32" s="224" t="s">
        <v>15920</v>
      </c>
      <c r="M32" s="224" t="s">
        <v>15875</v>
      </c>
      <c r="N32" s="224" t="s">
        <v>15827</v>
      </c>
      <c r="O32" s="224" t="s">
        <v>1065</v>
      </c>
      <c r="P32" s="185" t="s">
        <v>12407</v>
      </c>
      <c r="Q32" s="225" t="s">
        <v>15829</v>
      </c>
      <c r="R32" s="182" t="str">
        <f ca="1">IF(ISERROR($V32),"",OFFSET('Smelter Look-up'!$C$4,$V32-4,0)&amp;"")</f>
        <v>Coimpa Industrial LTDA</v>
      </c>
      <c r="S32" s="181" t="str">
        <f t="shared" ca="1" si="2"/>
        <v>BR</v>
      </c>
      <c r="T32" s="181" t="str">
        <f ca="1">IF(B32="","",IF(ISERROR(MATCH($J32,SorP!$B$1:$B$6226,0)),"",INDIRECT("'SorP'!$A$"&amp;MATCH($S32&amp;$J32,SorP!C:C,0))))</f>
        <v>BR-AM</v>
      </c>
      <c r="U32" s="201"/>
      <c r="V32" s="226">
        <f>IF(C32="",NA(),IF(OR(C32="Smelter not listed",C32="Smelter not yet identified"),MATCH($B32&amp;$D32,'Smelter Look-up'!$J:$J,0),MATCH($B32&amp;$C32,'Smelter Look-up'!$J:$J,0)))</f>
        <v>60</v>
      </c>
      <c r="X32" s="227">
        <f t="shared" si="3"/>
        <v>0</v>
      </c>
      <c r="AB32" s="228" t="str">
        <f t="shared" si="4"/>
        <v>GoldCoimpa Industrial LTDA</v>
      </c>
    </row>
    <row r="33" spans="1:28" s="227" customFormat="1" ht="102">
      <c r="A33" s="181" t="s">
        <v>1292</v>
      </c>
      <c r="B33" s="182" t="s">
        <v>1099</v>
      </c>
      <c r="C33" s="186" t="s">
        <v>2291</v>
      </c>
      <c r="D33" s="230" t="s">
        <v>2291</v>
      </c>
      <c r="E33" s="182" t="s">
        <v>1065</v>
      </c>
      <c r="F33" s="182" t="s">
        <v>1292</v>
      </c>
      <c r="G33" s="182" t="s">
        <v>13177</v>
      </c>
      <c r="H33" s="183"/>
      <c r="I33" s="184" t="s">
        <v>1725</v>
      </c>
      <c r="J33" s="184" t="s">
        <v>1729</v>
      </c>
      <c r="K33" s="224"/>
      <c r="L33" s="224"/>
      <c r="M33" s="224"/>
      <c r="N33" s="224"/>
      <c r="O33" s="224" t="s">
        <v>15921</v>
      </c>
      <c r="P33" s="185"/>
      <c r="Q33" s="225"/>
      <c r="R33" s="182" t="str">
        <f ca="1">IF(ISERROR($V33),"",OFFSET('Smelter Look-up'!$C$4,$V33-4,0)&amp;"")</f>
        <v>Melt Metais e Ligas S.A.</v>
      </c>
      <c r="S33" s="181" t="str">
        <f t="shared" ca="1" si="2"/>
        <v>BR</v>
      </c>
      <c r="T33" s="181" t="str">
        <f ca="1">IF(B33="","",IF(ISERROR(MATCH($J33,SorP!$B$1:$B$6226,0)),"",INDIRECT("'SorP'!$A$"&amp;MATCH($S33&amp;$J33,SorP!C:C,0))))</f>
        <v>BR-RO</v>
      </c>
      <c r="U33" s="201"/>
      <c r="V33" s="226">
        <f>IF(C33="",NA(),IF(OR(C33="Smelter not listed",C33="Smelter not yet identified"),MATCH($B33&amp;$D33,'Smelter Look-up'!$J:$J,0),MATCH($B33&amp;$C33,'Smelter Look-up'!$J:$J,0)))</f>
        <v>470</v>
      </c>
      <c r="X33" s="227">
        <f t="shared" si="3"/>
        <v>0</v>
      </c>
      <c r="AB33" s="228" t="str">
        <f t="shared" si="4"/>
        <v>TinMelt Metais e Ligas S.A.</v>
      </c>
    </row>
    <row r="34" spans="1:28" s="227" customFormat="1" ht="25.5">
      <c r="A34" s="181" t="s">
        <v>15922</v>
      </c>
      <c r="B34" s="182" t="s">
        <v>1098</v>
      </c>
      <c r="C34" s="186" t="s">
        <v>15923</v>
      </c>
      <c r="D34" s="230" t="s">
        <v>15923</v>
      </c>
      <c r="E34" s="182" t="s">
        <v>1065</v>
      </c>
      <c r="F34" s="182" t="s">
        <v>15922</v>
      </c>
      <c r="G34" s="182" t="s">
        <v>13177</v>
      </c>
      <c r="H34" s="183" t="s">
        <v>15840</v>
      </c>
      <c r="I34" s="184" t="s">
        <v>15840</v>
      </c>
      <c r="J34" s="184" t="s">
        <v>15840</v>
      </c>
      <c r="K34" s="224"/>
      <c r="L34" s="224"/>
      <c r="M34" s="224"/>
      <c r="N34" s="224"/>
      <c r="O34" s="224"/>
      <c r="P34" s="185"/>
      <c r="Q34" s="225"/>
      <c r="R34" s="182" t="str">
        <f ca="1">IF(ISERROR($V34),"",OFFSET('Smelter Look-up'!$C$4,$V34-4,0)&amp;"")</f>
        <v/>
      </c>
      <c r="S34" s="181" t="str">
        <f t="shared" ca="1" si="2"/>
        <v>BR</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si="3"/>
        <v>0</v>
      </c>
      <c r="AB34" s="228" t="str">
        <f t="shared" si="4"/>
        <v>GoldHouse of Currency of Brazil (Casa da Moeda do Brazil)</v>
      </c>
    </row>
    <row r="35" spans="1:28" s="227" customFormat="1" ht="102">
      <c r="A35" s="181" t="s">
        <v>2461</v>
      </c>
      <c r="B35" s="182" t="s">
        <v>1098</v>
      </c>
      <c r="C35" s="186" t="s">
        <v>2460</v>
      </c>
      <c r="D35" s="230" t="s">
        <v>2460</v>
      </c>
      <c r="E35" s="182" t="s">
        <v>1065</v>
      </c>
      <c r="F35" s="182" t="s">
        <v>2461</v>
      </c>
      <c r="G35" s="182" t="s">
        <v>13177</v>
      </c>
      <c r="H35" s="183"/>
      <c r="I35" s="184" t="s">
        <v>2462</v>
      </c>
      <c r="J35" s="184" t="s">
        <v>1640</v>
      </c>
      <c r="K35" s="224"/>
      <c r="L35" s="224"/>
      <c r="M35" s="224"/>
      <c r="N35" s="224"/>
      <c r="O35" s="224" t="s">
        <v>15924</v>
      </c>
      <c r="P35" s="185"/>
      <c r="Q35" s="225"/>
      <c r="R35" s="182" t="str">
        <f ca="1">IF(ISERROR($V35),"",OFFSET('Smelter Look-up'!$C$4,$V35-4,0)&amp;"")</f>
        <v>Marsam Metals</v>
      </c>
      <c r="S35" s="181" t="str">
        <f t="shared" ca="1" si="2"/>
        <v>BR</v>
      </c>
      <c r="T35" s="181" t="str">
        <f ca="1">IF(B35="","",IF(ISERROR(MATCH($J35,SorP!$B$1:$B$6226,0)),"",INDIRECT("'SorP'!$A$"&amp;MATCH($S35&amp;$J35,SorP!C:C,0))))</f>
        <v>BR-SP</v>
      </c>
      <c r="U35" s="201"/>
      <c r="V35" s="226">
        <f>IF(C35="",NA(),IF(OR(C35="Smelter not listed",C35="Smelter not yet identified"),MATCH($B35&amp;$D35,'Smelter Look-up'!$J:$J,0),MATCH($B35&amp;$C35,'Smelter Look-up'!$J:$J,0)))</f>
        <v>168</v>
      </c>
      <c r="X35" s="227">
        <f t="shared" si="3"/>
        <v>0</v>
      </c>
      <c r="AB35" s="228" t="str">
        <f t="shared" si="4"/>
        <v>GoldMarsam Metals</v>
      </c>
    </row>
    <row r="36" spans="1:28" s="227" customFormat="1" ht="102">
      <c r="A36" s="181" t="s">
        <v>2219</v>
      </c>
      <c r="B36" s="182" t="s">
        <v>1101</v>
      </c>
      <c r="C36" s="186" t="s">
        <v>2218</v>
      </c>
      <c r="D36" s="230" t="s">
        <v>2218</v>
      </c>
      <c r="E36" s="182" t="s">
        <v>1065</v>
      </c>
      <c r="F36" s="182" t="s">
        <v>2219</v>
      </c>
      <c r="G36" s="182" t="s">
        <v>13177</v>
      </c>
      <c r="H36" s="183"/>
      <c r="I36" s="184" t="s">
        <v>2220</v>
      </c>
      <c r="J36" s="184" t="s">
        <v>1640</v>
      </c>
      <c r="K36" s="224"/>
      <c r="L36" s="224"/>
      <c r="M36" s="224"/>
      <c r="N36" s="224"/>
      <c r="O36" s="224" t="s">
        <v>15925</v>
      </c>
      <c r="P36" s="185"/>
      <c r="Q36" s="225"/>
      <c r="R36" s="182" t="str">
        <f ca="1">IF(ISERROR($V36),"",OFFSET('Smelter Look-up'!$C$4,$V36-4,0)&amp;"")</f>
        <v>ACL Metais Eireli</v>
      </c>
      <c r="S36" s="181" t="str">
        <f t="shared" ca="1" si="2"/>
        <v>BR</v>
      </c>
      <c r="T36" s="181" t="str">
        <f ca="1">IF(B36="","",IF(ISERROR(MATCH($J36,SorP!$B$1:$B$6226,0)),"",INDIRECT("'SorP'!$A$"&amp;MATCH($S36&amp;$J36,SorP!C:C,0))))</f>
        <v>BR-SP</v>
      </c>
      <c r="U36" s="201"/>
      <c r="V36" s="226">
        <f>IF(C36="",NA(),IF(OR(C36="Smelter not listed",C36="Smelter not yet identified"),MATCH($B36&amp;$D36,'Smelter Look-up'!$J:$J,0),MATCH($B36&amp;$C36,'Smelter Look-up'!$J:$J,0)))</f>
        <v>555</v>
      </c>
      <c r="X36" s="227">
        <f t="shared" si="3"/>
        <v>0</v>
      </c>
      <c r="AB36" s="228" t="str">
        <f t="shared" si="4"/>
        <v>TungstenACL Metais Eireli</v>
      </c>
    </row>
    <row r="37" spans="1:28" s="227" customFormat="1" ht="25.5">
      <c r="A37" s="181" t="s">
        <v>13776</v>
      </c>
      <c r="B37" s="182" t="s">
        <v>1101</v>
      </c>
      <c r="C37" s="186" t="s">
        <v>13762</v>
      </c>
      <c r="D37" s="230" t="s">
        <v>13762</v>
      </c>
      <c r="E37" s="182" t="s">
        <v>1065</v>
      </c>
      <c r="F37" s="182" t="s">
        <v>13776</v>
      </c>
      <c r="G37" s="182" t="s">
        <v>13177</v>
      </c>
      <c r="H37" s="183"/>
      <c r="I37" s="184" t="s">
        <v>2462</v>
      </c>
      <c r="J37" s="184" t="s">
        <v>1640</v>
      </c>
      <c r="K37" s="224"/>
      <c r="L37" s="224"/>
      <c r="M37" s="224"/>
      <c r="N37" s="224"/>
      <c r="O37" s="224" t="s">
        <v>15926</v>
      </c>
      <c r="P37" s="185"/>
      <c r="Q37" s="225"/>
      <c r="R37" s="182" t="str">
        <f ca="1">IF(ISERROR($V37),"",OFFSET('Smelter Look-up'!$C$4,$V37-4,0)&amp;"")</f>
        <v>Albasteel Industria e Comercio de Ligas Para Fundicao Ltd.</v>
      </c>
      <c r="S37" s="181" t="str">
        <f t="shared" ca="1" si="2"/>
        <v>BR</v>
      </c>
      <c r="T37" s="181" t="str">
        <f ca="1">IF(B37="","",IF(ISERROR(MATCH($J37,SorP!$B$1:$B$6226,0)),"",INDIRECT("'SorP'!$A$"&amp;MATCH($S37&amp;$J37,SorP!C:C,0))))</f>
        <v>BR-SP</v>
      </c>
      <c r="U37" s="201"/>
      <c r="V37" s="226">
        <f>IF(C37="",NA(),IF(OR(C37="Smelter not listed",C37="Smelter not yet identified"),MATCH($B37&amp;$D37,'Smelter Look-up'!$J:$J,0),MATCH($B37&amp;$C37,'Smelter Look-up'!$J:$J,0)))</f>
        <v>556</v>
      </c>
      <c r="X37" s="227">
        <f t="shared" si="3"/>
        <v>0</v>
      </c>
      <c r="AB37" s="228" t="str">
        <f t="shared" si="4"/>
        <v>TungstenAlbasteel Industria e Comercio de Ligas Para Fundicao Ltd.</v>
      </c>
    </row>
    <row r="38" spans="1:28" s="227" customFormat="1" ht="38.25">
      <c r="A38" s="181" t="s">
        <v>14961</v>
      </c>
      <c r="B38" s="182" t="s">
        <v>1099</v>
      </c>
      <c r="C38" s="186" t="s">
        <v>14960</v>
      </c>
      <c r="D38" s="230" t="s">
        <v>14960</v>
      </c>
      <c r="E38" s="182" t="s">
        <v>1065</v>
      </c>
      <c r="F38" s="182" t="s">
        <v>14961</v>
      </c>
      <c r="G38" s="182" t="s">
        <v>13177</v>
      </c>
      <c r="H38" s="183" t="s">
        <v>15927</v>
      </c>
      <c r="I38" s="184" t="s">
        <v>14987</v>
      </c>
      <c r="J38" s="184" t="s">
        <v>1640</v>
      </c>
      <c r="K38" s="224" t="s">
        <v>15928</v>
      </c>
      <c r="L38" s="224" t="s">
        <v>15929</v>
      </c>
      <c r="M38" s="224"/>
      <c r="N38" s="224"/>
      <c r="O38" s="224" t="s">
        <v>15930</v>
      </c>
      <c r="P38" s="185" t="s">
        <v>476</v>
      </c>
      <c r="Q38" s="225"/>
      <c r="R38" s="182" t="str">
        <f ca="1">IF(ISERROR($V38),"",OFFSET('Smelter Look-up'!$C$4,$V38-4,0)&amp;"")</f>
        <v>Fabrica Auricchio Industria e Comercio Ltda.</v>
      </c>
      <c r="S38" s="181" t="str">
        <f t="shared" ref="S38:S68" ca="1" si="5">IF(B38="","",IF(ISERROR(MATCH($E38,CL,0)),"Unknown",INDIRECT("'C'!$A$"&amp;MATCH($E38,CL,0)+1)))</f>
        <v>BR</v>
      </c>
      <c r="T38" s="181" t="str">
        <f ca="1">IF(B38="","",IF(ISERROR(MATCH($J38,SorP!$B$1:$B$6226,0)),"",INDIRECT("'SorP'!$A$"&amp;MATCH($S38&amp;$J38,SorP!C:C,0))))</f>
        <v>BR-SP</v>
      </c>
      <c r="U38" s="201"/>
      <c r="V38" s="226">
        <f>IF(C38="",NA(),IF(OR(C38="Smelter not listed",C38="Smelter not yet identified"),MATCH($B38&amp;$D38,'Smelter Look-up'!$J:$J,0),MATCH($B38&amp;$C38,'Smelter Look-up'!$J:$J,0)))</f>
        <v>436</v>
      </c>
      <c r="X38" s="227">
        <f t="shared" ref="X38:X68" si="6">IF(AND(C38="Smelter not listed",OR(LEN(D38)=0,LEN(E38)=0)),1,0)</f>
        <v>0</v>
      </c>
      <c r="AB38" s="228" t="str">
        <f t="shared" ref="AB38:AB68" si="7">B38&amp;C38</f>
        <v>TinFabrica Auricchio Industria e Comercio Ltda.</v>
      </c>
    </row>
    <row r="39" spans="1:28" s="227" customFormat="1" ht="102">
      <c r="A39" s="181" t="s">
        <v>647</v>
      </c>
      <c r="B39" s="182" t="s">
        <v>1098</v>
      </c>
      <c r="C39" s="186" t="s">
        <v>2192</v>
      </c>
      <c r="D39" s="230" t="s">
        <v>2192</v>
      </c>
      <c r="E39" s="182" t="s">
        <v>1066</v>
      </c>
      <c r="F39" s="182" t="s">
        <v>647</v>
      </c>
      <c r="G39" s="182" t="s">
        <v>13177</v>
      </c>
      <c r="H39" s="183"/>
      <c r="I39" s="184" t="s">
        <v>1528</v>
      </c>
      <c r="J39" s="184" t="s">
        <v>1529</v>
      </c>
      <c r="K39" s="224" t="s">
        <v>15931</v>
      </c>
      <c r="L39" s="224" t="s">
        <v>15932</v>
      </c>
      <c r="M39" s="224" t="s">
        <v>15833</v>
      </c>
      <c r="N39" s="224" t="s">
        <v>15827</v>
      </c>
      <c r="O39" s="224" t="s">
        <v>15933</v>
      </c>
      <c r="P39" s="185" t="s">
        <v>12407</v>
      </c>
      <c r="Q39" s="225" t="s">
        <v>15871</v>
      </c>
      <c r="R39" s="182" t="str">
        <f ca="1">IF(ISERROR($V39),"",OFFSET('Smelter Look-up'!$C$4,$V39-4,0)&amp;"")</f>
        <v>CCR Refinery - Glencore Canada Corporation</v>
      </c>
      <c r="S39" s="181" t="str">
        <f t="shared" ca="1" si="5"/>
        <v>CA</v>
      </c>
      <c r="T39" s="181" t="str">
        <f ca="1">IF(B39="","",IF(ISERROR(MATCH($J39,SorP!$B$1:$B$6226,0)),"",INDIRECT("'SorP'!$A$"&amp;MATCH($S39&amp;$J39,SorP!C:C,0))))</f>
        <v>CA-QC</v>
      </c>
      <c r="U39" s="201"/>
      <c r="V39" s="226">
        <f>IF(C39="",NA(),IF(OR(C39="Smelter not listed",C39="Smelter not yet identified"),MATCH($B39&amp;$D39,'Smelter Look-up'!$J:$J,0),MATCH($B39&amp;$C39,'Smelter Look-up'!$J:$J,0)))</f>
        <v>48</v>
      </c>
      <c r="X39" s="227">
        <f t="shared" si="6"/>
        <v>0</v>
      </c>
      <c r="AB39" s="228" t="str">
        <f t="shared" si="7"/>
        <v>GoldCCR Refinery - Glencore Canada Corporation</v>
      </c>
    </row>
    <row r="40" spans="1:28" s="227" customFormat="1" ht="25.5">
      <c r="A40" s="181" t="s">
        <v>670</v>
      </c>
      <c r="B40" s="182" t="s">
        <v>1098</v>
      </c>
      <c r="C40" s="186" t="s">
        <v>2238</v>
      </c>
      <c r="D40" s="230" t="s">
        <v>2238</v>
      </c>
      <c r="E40" s="182" t="s">
        <v>1066</v>
      </c>
      <c r="F40" s="182" t="s">
        <v>670</v>
      </c>
      <c r="G40" s="182" t="s">
        <v>13177</v>
      </c>
      <c r="H40" s="183"/>
      <c r="I40" s="184" t="s">
        <v>1568</v>
      </c>
      <c r="J40" s="184" t="s">
        <v>1569</v>
      </c>
      <c r="K40" s="224" t="s">
        <v>15934</v>
      </c>
      <c r="L40" s="224" t="s">
        <v>15935</v>
      </c>
      <c r="M40" s="224" t="s">
        <v>15826</v>
      </c>
      <c r="N40" s="224" t="s">
        <v>15827</v>
      </c>
      <c r="O40" s="224" t="s">
        <v>1066</v>
      </c>
      <c r="P40" s="185" t="s">
        <v>12407</v>
      </c>
      <c r="Q40" s="225" t="s">
        <v>15829</v>
      </c>
      <c r="R40" s="182" t="str">
        <f ca="1">IF(ISERROR($V40),"",OFFSET('Smelter Look-up'!$C$4,$V40-4,0)&amp;"")</f>
        <v>Asahi Refining Canada Ltd.</v>
      </c>
      <c r="S40" s="181" t="str">
        <f t="shared" ca="1" si="5"/>
        <v>CA</v>
      </c>
      <c r="T40" s="181" t="str">
        <f ca="1">IF(B40="","",IF(ISERROR(MATCH($J40,SorP!$B$1:$B$6226,0)),"",INDIRECT("'SorP'!$A$"&amp;MATCH($S40&amp;$J40,SorP!C:C,0))))</f>
        <v>CA-ON</v>
      </c>
      <c r="U40" s="201"/>
      <c r="V40" s="226">
        <f>IF(C40="",NA(),IF(OR(C40="Smelter not listed",C40="Smelter not yet identified"),MATCH($B40&amp;$D40,'Smelter Look-up'!$J:$J,0),MATCH($B40&amp;$C40,'Smelter Look-up'!$J:$J,0)))</f>
        <v>31</v>
      </c>
      <c r="X40" s="227">
        <f t="shared" si="6"/>
        <v>0</v>
      </c>
      <c r="AB40" s="228" t="str">
        <f t="shared" si="7"/>
        <v>GoldAsahi Refining Canada Ltd.</v>
      </c>
    </row>
    <row r="41" spans="1:28" s="227" customFormat="1" ht="114.75">
      <c r="A41" s="181" t="s">
        <v>705</v>
      </c>
      <c r="B41" s="182" t="s">
        <v>1098</v>
      </c>
      <c r="C41" s="186" t="s">
        <v>884</v>
      </c>
      <c r="D41" s="230" t="s">
        <v>884</v>
      </c>
      <c r="E41" s="182" t="s">
        <v>1066</v>
      </c>
      <c r="F41" s="182" t="s">
        <v>705</v>
      </c>
      <c r="G41" s="182" t="s">
        <v>13177</v>
      </c>
      <c r="H41" s="183" t="s">
        <v>15936</v>
      </c>
      <c r="I41" s="184" t="s">
        <v>1611</v>
      </c>
      <c r="J41" s="184" t="s">
        <v>1569</v>
      </c>
      <c r="K41" s="224" t="s">
        <v>15937</v>
      </c>
      <c r="L41" s="224" t="s">
        <v>15938</v>
      </c>
      <c r="M41" s="224" t="s">
        <v>15826</v>
      </c>
      <c r="N41" s="224"/>
      <c r="O41" s="224" t="s">
        <v>15939</v>
      </c>
      <c r="P41" s="185" t="s">
        <v>12407</v>
      </c>
      <c r="Q41" s="225" t="s">
        <v>15829</v>
      </c>
      <c r="R41" s="182" t="str">
        <f ca="1">IF(ISERROR($V41),"",OFFSET('Smelter Look-up'!$C$4,$V41-4,0)&amp;"")</f>
        <v>Royal Canadian Mint</v>
      </c>
      <c r="S41" s="181" t="str">
        <f t="shared" ca="1" si="5"/>
        <v>CA</v>
      </c>
      <c r="T41" s="181" t="str">
        <f ca="1">IF(B41="","",IF(ISERROR(MATCH($J41,SorP!$B$1:$B$6226,0)),"",INDIRECT("'SorP'!$A$"&amp;MATCH($S41&amp;$J41,SorP!C:C,0))))</f>
        <v>CA-ON</v>
      </c>
      <c r="U41" s="201"/>
      <c r="V41" s="226">
        <f>IF(C41="",NA(),IF(OR(C41="Smelter not listed",C41="Smelter not yet identified"),MATCH($B41&amp;$D41,'Smelter Look-up'!$J:$J,0),MATCH($B41&amp;$C41,'Smelter Look-up'!$J:$J,0)))</f>
        <v>229</v>
      </c>
      <c r="X41" s="227">
        <f t="shared" si="6"/>
        <v>0</v>
      </c>
      <c r="AB41" s="228" t="str">
        <f t="shared" si="7"/>
        <v>GoldRoyal Canadian Mint</v>
      </c>
    </row>
    <row r="42" spans="1:28" s="227" customFormat="1" ht="102">
      <c r="A42" s="181" t="s">
        <v>2466</v>
      </c>
      <c r="B42" s="182" t="s">
        <v>1098</v>
      </c>
      <c r="C42" s="186" t="s">
        <v>2465</v>
      </c>
      <c r="D42" s="230" t="s">
        <v>2465</v>
      </c>
      <c r="E42" s="182" t="s">
        <v>1068</v>
      </c>
      <c r="F42" s="182" t="s">
        <v>2466</v>
      </c>
      <c r="G42" s="182" t="s">
        <v>13177</v>
      </c>
      <c r="H42" s="183" t="s">
        <v>15940</v>
      </c>
      <c r="I42" s="184" t="s">
        <v>2467</v>
      </c>
      <c r="J42" s="184" t="s">
        <v>2468</v>
      </c>
      <c r="K42" s="224" t="s">
        <v>15941</v>
      </c>
      <c r="L42" s="224" t="s">
        <v>15942</v>
      </c>
      <c r="M42" s="224" t="s">
        <v>15875</v>
      </c>
      <c r="N42" s="224" t="s">
        <v>15943</v>
      </c>
      <c r="O42" s="224" t="s">
        <v>15944</v>
      </c>
      <c r="P42" s="185" t="s">
        <v>476</v>
      </c>
      <c r="Q42" s="225" t="s">
        <v>15829</v>
      </c>
      <c r="R42" s="182" t="str">
        <f ca="1">IF(ISERROR($V42),"",OFFSET('Smelter Look-up'!$C$4,$V42-4,0)&amp;"")</f>
        <v>Planta Recuperadora de Metales SpA</v>
      </c>
      <c r="S42" s="181" t="str">
        <f t="shared" ca="1" si="5"/>
        <v>CL</v>
      </c>
      <c r="T42" s="181" t="str">
        <f ca="1">IF(B42="","",IF(ISERROR(MATCH($J42,SorP!$B$1:$B$6226,0)),"",INDIRECT("'SorP'!$A$"&amp;MATCH($S42&amp;$J42,SorP!C:C,0))))</f>
        <v>CL-AN</v>
      </c>
      <c r="U42" s="201"/>
      <c r="V42" s="226">
        <f>IF(C42="",NA(),IF(OR(C42="Smelter not listed",C42="Smelter not yet identified"),MATCH($B42&amp;$D42,'Smelter Look-up'!$J:$J,0),MATCH($B42&amp;$C42,'Smelter Look-up'!$J:$J,0)))</f>
        <v>217</v>
      </c>
      <c r="X42" s="227">
        <f t="shared" si="6"/>
        <v>0</v>
      </c>
      <c r="AB42" s="228" t="str">
        <f t="shared" si="7"/>
        <v>GoldPlanta Recuperadora de Metales SpA</v>
      </c>
    </row>
    <row r="43" spans="1:28" s="227" customFormat="1" ht="63.75">
      <c r="A43" s="181" t="s">
        <v>13779</v>
      </c>
      <c r="B43" s="182" t="s">
        <v>1101</v>
      </c>
      <c r="C43" s="186" t="s">
        <v>15358</v>
      </c>
      <c r="D43" s="230" t="s">
        <v>15358</v>
      </c>
      <c r="E43" s="182" t="s">
        <v>1069</v>
      </c>
      <c r="F43" s="182" t="s">
        <v>13779</v>
      </c>
      <c r="G43" s="182" t="s">
        <v>13177</v>
      </c>
      <c r="H43" s="183" t="s">
        <v>15945</v>
      </c>
      <c r="I43" s="184" t="s">
        <v>14983</v>
      </c>
      <c r="J43" s="184" t="s">
        <v>13536</v>
      </c>
      <c r="K43" s="224" t="s">
        <v>15946</v>
      </c>
      <c r="L43" s="224" t="s">
        <v>15947</v>
      </c>
      <c r="M43" s="224" t="s">
        <v>15875</v>
      </c>
      <c r="N43" s="224" t="s">
        <v>15827</v>
      </c>
      <c r="O43" s="224" t="s">
        <v>15948</v>
      </c>
      <c r="P43" s="185" t="s">
        <v>15949</v>
      </c>
      <c r="Q43" s="225" t="s">
        <v>15829</v>
      </c>
      <c r="R43" s="182" t="str">
        <f ca="1">IF(ISERROR($V43),"",OFFSET('Smelter Look-up'!$C$4,$V43-4,0)&amp;"")</f>
        <v>Hubei Green Tungsten Co., Ltd.</v>
      </c>
      <c r="S43" s="181" t="str">
        <f t="shared" ca="1" si="5"/>
        <v>CN</v>
      </c>
      <c r="T43" s="181" t="str">
        <f ca="1">IF(B43="","",IF(ISERROR(MATCH($J43,SorP!$B$1:$B$6226,0)),"",INDIRECT("'SorP'!$A$"&amp;MATCH($S43&amp;$J43,SorP!C:C,0))))</f>
        <v>CN-GD</v>
      </c>
      <c r="U43" s="201"/>
      <c r="V43" s="226">
        <f>IF(C43="",NA(),IF(OR(C43="Smelter not listed",C43="Smelter not yet identified"),MATCH($B43&amp;$D43,'Smelter Look-up'!$J:$J,0),MATCH($B43&amp;$C43,'Smelter Look-up'!$J:$J,0)))</f>
        <v>585</v>
      </c>
      <c r="X43" s="227">
        <f t="shared" si="6"/>
        <v>0</v>
      </c>
      <c r="AB43" s="228" t="str">
        <f t="shared" si="7"/>
        <v>TungstenHubei Green Tungsten Co., Ltd.</v>
      </c>
    </row>
    <row r="44" spans="1:28" s="227" customFormat="1" ht="204">
      <c r="A44" s="181" t="s">
        <v>769</v>
      </c>
      <c r="B44" s="182" t="s">
        <v>1101</v>
      </c>
      <c r="C44" s="186" t="s">
        <v>1345</v>
      </c>
      <c r="D44" s="230" t="s">
        <v>1345</v>
      </c>
      <c r="E44" s="182" t="s">
        <v>1069</v>
      </c>
      <c r="F44" s="182" t="s">
        <v>769</v>
      </c>
      <c r="G44" s="182" t="s">
        <v>13177</v>
      </c>
      <c r="H44" s="183"/>
      <c r="I44" s="184" t="s">
        <v>1781</v>
      </c>
      <c r="J44" s="184" t="s">
        <v>13536</v>
      </c>
      <c r="K44" s="224" t="s">
        <v>15950</v>
      </c>
      <c r="L44" s="224" t="s">
        <v>15951</v>
      </c>
      <c r="M44" s="224" t="s">
        <v>15826</v>
      </c>
      <c r="N44" s="224" t="s">
        <v>15827</v>
      </c>
      <c r="O44" s="224" t="s">
        <v>15952</v>
      </c>
      <c r="P44" s="185" t="s">
        <v>476</v>
      </c>
      <c r="Q44" s="225" t="s">
        <v>15829</v>
      </c>
      <c r="R44" s="182" t="str">
        <f ca="1">IF(ISERROR($V44),"",OFFSET('Smelter Look-up'!$C$4,$V44-4,0)&amp;"")</f>
        <v>Guangdong Xianglu Tungsten Co., Ltd.</v>
      </c>
      <c r="S44" s="181" t="str">
        <f t="shared" ca="1" si="5"/>
        <v>CN</v>
      </c>
      <c r="T44" s="181" t="str">
        <f ca="1">IF(B44="","",IF(ISERROR(MATCH($J44,SorP!$B$1:$B$6226,0)),"",INDIRECT("'SorP'!$A$"&amp;MATCH($S44&amp;$J44,SorP!C:C,0))))</f>
        <v>CN-GD</v>
      </c>
      <c r="U44" s="201"/>
      <c r="V44" s="226">
        <f>IF(C44="",NA(),IF(OR(C44="Smelter not listed",C44="Smelter not yet identified"),MATCH($B44&amp;$D44,'Smelter Look-up'!$J:$J,0),MATCH($B44&amp;$C44,'Smelter Look-up'!$J:$J,0)))</f>
        <v>580</v>
      </c>
      <c r="X44" s="227">
        <f t="shared" si="6"/>
        <v>0</v>
      </c>
      <c r="AB44" s="228" t="str">
        <f t="shared" si="7"/>
        <v>TungstenGuangdong Xianglu Tungsten Co., Ltd.</v>
      </c>
    </row>
    <row r="45" spans="1:28" s="227" customFormat="1" ht="76.5">
      <c r="A45" s="181" t="s">
        <v>2230</v>
      </c>
      <c r="B45" s="182" t="s">
        <v>1099</v>
      </c>
      <c r="C45" s="186" t="s">
        <v>2287</v>
      </c>
      <c r="D45" s="230" t="s">
        <v>2287</v>
      </c>
      <c r="E45" s="182" t="s">
        <v>1069</v>
      </c>
      <c r="F45" s="182" t="s">
        <v>2230</v>
      </c>
      <c r="G45" s="182" t="s">
        <v>13177</v>
      </c>
      <c r="H45" s="183" t="s">
        <v>15953</v>
      </c>
      <c r="I45" s="184" t="s">
        <v>1733</v>
      </c>
      <c r="J45" s="184" t="s">
        <v>13535</v>
      </c>
      <c r="K45" s="224" t="s">
        <v>15954</v>
      </c>
      <c r="L45" s="224" t="s">
        <v>15955</v>
      </c>
      <c r="M45" s="224" t="s">
        <v>15875</v>
      </c>
      <c r="N45" s="224" t="s">
        <v>15956</v>
      </c>
      <c r="O45" s="224" t="s">
        <v>15957</v>
      </c>
      <c r="P45" s="185" t="s">
        <v>476</v>
      </c>
      <c r="Q45" s="225" t="s">
        <v>15829</v>
      </c>
      <c r="R45" s="182" t="str">
        <f ca="1">IF(ISERROR($V45),"",OFFSET('Smelter Look-up'!$C$4,$V45-4,0)&amp;"")</f>
        <v>Chenzhou Yunxiang Mining and Metallurgy Co., Ltd.</v>
      </c>
      <c r="S45" s="181" t="str">
        <f t="shared" ca="1" si="5"/>
        <v>CN</v>
      </c>
      <c r="T45" s="181" t="str">
        <f ca="1">IF(B45="","",IF(ISERROR(MATCH($J45,SorP!$B$1:$B$6226,0)),"",INDIRECT("'SorP'!$A$"&amp;MATCH($S45&amp;$J45,SorP!C:C,0))))</f>
        <v>CN-HN</v>
      </c>
      <c r="U45" s="201"/>
      <c r="V45" s="226">
        <f>IF(C45="",NA(),IF(OR(C45="Smelter not listed",C45="Smelter not yet identified"),MATCH($B45&amp;$D45,'Smelter Look-up'!$J:$J,0),MATCH($B45&amp;$C45,'Smelter Look-up'!$J:$J,0)))</f>
        <v>408</v>
      </c>
      <c r="X45" s="227">
        <f t="shared" si="6"/>
        <v>0</v>
      </c>
      <c r="AB45" s="228" t="str">
        <f t="shared" si="7"/>
        <v>TinChenzhou Yunxiang Mining and Metallurgy Co., Ltd.</v>
      </c>
    </row>
    <row r="46" spans="1:28" s="227" customFormat="1" ht="114.75">
      <c r="A46" s="181" t="s">
        <v>770</v>
      </c>
      <c r="B46" s="182" t="s">
        <v>1101</v>
      </c>
      <c r="C46" s="186" t="s">
        <v>1344</v>
      </c>
      <c r="D46" s="230" t="s">
        <v>1344</v>
      </c>
      <c r="E46" s="182" t="s">
        <v>1069</v>
      </c>
      <c r="F46" s="182" t="s">
        <v>770</v>
      </c>
      <c r="G46" s="182" t="s">
        <v>13177</v>
      </c>
      <c r="H46" s="183"/>
      <c r="I46" s="184" t="s">
        <v>1732</v>
      </c>
      <c r="J46" s="184" t="s">
        <v>13531</v>
      </c>
      <c r="K46" s="224" t="s">
        <v>15958</v>
      </c>
      <c r="L46" s="224" t="s">
        <v>15959</v>
      </c>
      <c r="M46" s="224" t="s">
        <v>15826</v>
      </c>
      <c r="N46" s="224" t="s">
        <v>15827</v>
      </c>
      <c r="O46" s="224" t="s">
        <v>15960</v>
      </c>
      <c r="P46" s="185" t="s">
        <v>12407</v>
      </c>
      <c r="Q46" s="225" t="s">
        <v>15961</v>
      </c>
      <c r="R46" s="182" t="str">
        <f ca="1">IF(ISERROR($V46),"",OFFSET('Smelter Look-up'!$C$4,$V46-4,0)&amp;"")</f>
        <v>Chongyi Zhangyuan Tungsten Co., Ltd.</v>
      </c>
      <c r="S46" s="181" t="str">
        <f t="shared" ca="1" si="5"/>
        <v>CN</v>
      </c>
      <c r="T46" s="181" t="str">
        <f ca="1">IF(B46="","",IF(ISERROR(MATCH($J46,SorP!$B$1:$B$6226,0)),"",INDIRECT("'SorP'!$A$"&amp;MATCH($S46&amp;$J46,SorP!C:C,0))))</f>
        <v>CN-JX</v>
      </c>
      <c r="U46" s="201"/>
      <c r="V46" s="226">
        <f>IF(C46="",NA(),IF(OR(C46="Smelter not listed",C46="Smelter not yet identified"),MATCH($B46&amp;$D46,'Smelter Look-up'!$J:$J,0),MATCH($B46&amp;$C46,'Smelter Look-up'!$J:$J,0)))</f>
        <v>569</v>
      </c>
      <c r="X46" s="227">
        <f t="shared" si="6"/>
        <v>0</v>
      </c>
      <c r="AB46" s="228" t="str">
        <f t="shared" si="7"/>
        <v>TungstenChongyi Zhangyuan Tungsten Co., Ltd.</v>
      </c>
    </row>
    <row r="47" spans="1:28" s="227" customFormat="1" ht="63.75">
      <c r="A47" s="181" t="s">
        <v>15619</v>
      </c>
      <c r="B47" s="182" t="s">
        <v>1100</v>
      </c>
      <c r="C47" s="186" t="s">
        <v>15618</v>
      </c>
      <c r="D47" s="230" t="s">
        <v>15618</v>
      </c>
      <c r="E47" s="182" t="s">
        <v>1069</v>
      </c>
      <c r="F47" s="182" t="s">
        <v>15619</v>
      </c>
      <c r="G47" s="182" t="s">
        <v>13177</v>
      </c>
      <c r="H47" s="183"/>
      <c r="I47" s="184" t="s">
        <v>1681</v>
      </c>
      <c r="J47" s="184" t="s">
        <v>13536</v>
      </c>
      <c r="K47" s="224" t="s">
        <v>15962</v>
      </c>
      <c r="L47" s="224" t="s">
        <v>15963</v>
      </c>
      <c r="M47" s="224" t="s">
        <v>15833</v>
      </c>
      <c r="N47" s="224" t="s">
        <v>15827</v>
      </c>
      <c r="O47" s="224" t="s">
        <v>15964</v>
      </c>
      <c r="P47" s="185" t="s">
        <v>12407</v>
      </c>
      <c r="Q47" s="225" t="s">
        <v>15829</v>
      </c>
      <c r="R47" s="182" t="str">
        <f ca="1">IF(ISERROR($V47),"",OFFSET('Smelter Look-up'!$C$4,$V47-4,0)&amp;"")</f>
        <v>Guangdong Rising Rare Metals-EO Materials Ltd.</v>
      </c>
      <c r="S47" s="181" t="str">
        <f t="shared" ca="1" si="5"/>
        <v>CN</v>
      </c>
      <c r="T47" s="181" t="str">
        <f ca="1">IF(B47="","",IF(ISERROR(MATCH($J47,SorP!$B$1:$B$6226,0)),"",INDIRECT("'SorP'!$A$"&amp;MATCH($S47&amp;$J47,SorP!C:C,0))))</f>
        <v>CN-GD</v>
      </c>
      <c r="U47" s="201"/>
      <c r="V47" s="226">
        <f>IF(C47="",NA(),IF(OR(C47="Smelter not listed",C47="Smelter not yet identified"),MATCH($B47&amp;$D47,'Smelter Look-up'!$J:$J,0),MATCH($B47&amp;$C47,'Smelter Look-up'!$J:$J,0)))</f>
        <v>341</v>
      </c>
      <c r="X47" s="227">
        <f t="shared" si="6"/>
        <v>0</v>
      </c>
      <c r="AB47" s="228" t="str">
        <f t="shared" si="7"/>
        <v>TantalumGuangdong Rising Rare Metals-EO Materials Ltd.</v>
      </c>
    </row>
    <row r="48" spans="1:28" s="227" customFormat="1" ht="25.5">
      <c r="A48" s="181" t="s">
        <v>728</v>
      </c>
      <c r="B48" s="182" t="s">
        <v>1100</v>
      </c>
      <c r="C48" s="186" t="s">
        <v>43</v>
      </c>
      <c r="D48" s="230" t="s">
        <v>43</v>
      </c>
      <c r="E48" s="182" t="s">
        <v>1069</v>
      </c>
      <c r="F48" s="182" t="s">
        <v>728</v>
      </c>
      <c r="G48" s="182" t="s">
        <v>13177</v>
      </c>
      <c r="H48" s="183" t="s">
        <v>15965</v>
      </c>
      <c r="I48" s="184" t="s">
        <v>1679</v>
      </c>
      <c r="J48" s="184" t="s">
        <v>13536</v>
      </c>
      <c r="K48" s="224" t="s">
        <v>15966</v>
      </c>
      <c r="L48" s="224" t="s">
        <v>15967</v>
      </c>
      <c r="M48" s="224" t="s">
        <v>15886</v>
      </c>
      <c r="N48" s="224"/>
      <c r="O48" s="224" t="s">
        <v>15968</v>
      </c>
      <c r="P48" s="185" t="s">
        <v>476</v>
      </c>
      <c r="Q48" s="225" t="s">
        <v>15829</v>
      </c>
      <c r="R48" s="182" t="str">
        <f ca="1">IF(ISERROR($V48),"",OFFSET('Smelter Look-up'!$C$4,$V48-4,0)&amp;"")</f>
        <v>F&amp;X Electro-Materials Ltd.</v>
      </c>
      <c r="S48" s="181" t="str">
        <f t="shared" ca="1" si="5"/>
        <v>CN</v>
      </c>
      <c r="T48" s="181" t="str">
        <f ca="1">IF(B48="","",IF(ISERROR(MATCH($J48,SorP!$B$1:$B$6226,0)),"",INDIRECT("'SorP'!$A$"&amp;MATCH($S48&amp;$J48,SorP!C:C,0))))</f>
        <v>CN-GD</v>
      </c>
      <c r="U48" s="201"/>
      <c r="V48" s="226">
        <f>IF(C48="",NA(),IF(OR(C48="Smelter not listed",C48="Smelter not yet identified"),MATCH($B48&amp;$D48,'Smelter Look-up'!$J:$J,0),MATCH($B48&amp;$C48,'Smelter Look-up'!$J:$J,0)))</f>
        <v>337</v>
      </c>
      <c r="X48" s="227">
        <f t="shared" si="6"/>
        <v>0</v>
      </c>
      <c r="AB48" s="228" t="str">
        <f t="shared" si="7"/>
        <v>TantalumF&amp;X Electro-Materials Ltd.</v>
      </c>
    </row>
    <row r="49" spans="1:28" s="227" customFormat="1" ht="63.75">
      <c r="A49" s="181" t="s">
        <v>12877</v>
      </c>
      <c r="B49" s="182" t="s">
        <v>1099</v>
      </c>
      <c r="C49" s="186" t="s">
        <v>12876</v>
      </c>
      <c r="D49" s="230" t="s">
        <v>12876</v>
      </c>
      <c r="E49" s="182" t="s">
        <v>1069</v>
      </c>
      <c r="F49" s="182" t="s">
        <v>12877</v>
      </c>
      <c r="G49" s="182" t="s">
        <v>13177</v>
      </c>
      <c r="H49" s="183" t="s">
        <v>15969</v>
      </c>
      <c r="I49" s="184" t="s">
        <v>12893</v>
      </c>
      <c r="J49" s="184" t="s">
        <v>13514</v>
      </c>
      <c r="K49" s="224" t="s">
        <v>15970</v>
      </c>
      <c r="L49" s="224" t="s">
        <v>15971</v>
      </c>
      <c r="M49" s="224" t="s">
        <v>15875</v>
      </c>
      <c r="N49" s="224" t="s">
        <v>15827</v>
      </c>
      <c r="O49" s="224" t="s">
        <v>15972</v>
      </c>
      <c r="P49" s="185" t="s">
        <v>475</v>
      </c>
      <c r="Q49" s="225" t="s">
        <v>15829</v>
      </c>
      <c r="R49" s="182" t="str">
        <f ca="1">IF(ISERROR($V49),"",OFFSET('Smelter Look-up'!$C$4,$V49-4,0)&amp;"")</f>
        <v>Chifeng Dajingzi Tin Industry Co., Ltd.</v>
      </c>
      <c r="S49" s="181" t="str">
        <f t="shared" ca="1" si="5"/>
        <v>CN</v>
      </c>
      <c r="T49" s="181" t="str">
        <f ca="1">IF(B49="","",IF(ISERROR(MATCH($J49,SorP!$B$1:$B$6226,0)),"",INDIRECT("'SorP'!$A$"&amp;MATCH($S49&amp;$J49,SorP!C:C,0))))</f>
        <v>CN-NM</v>
      </c>
      <c r="U49" s="201"/>
      <c r="V49" s="226">
        <f>IF(C49="",NA(),IF(OR(C49="Smelter not listed",C49="Smelter not yet identified"),MATCH($B49&amp;$D49,'Smelter Look-up'!$J:$J,0),MATCH($B49&amp;$C49,'Smelter Look-up'!$J:$J,0)))</f>
        <v>409</v>
      </c>
      <c r="X49" s="227">
        <f t="shared" si="6"/>
        <v>0</v>
      </c>
      <c r="AB49" s="228" t="str">
        <f t="shared" si="7"/>
        <v>TinChifeng Dajingzi Tin Industry Co., Ltd.</v>
      </c>
    </row>
    <row r="50" spans="1:28" s="227" customFormat="1" ht="25.5">
      <c r="A50" s="181" t="s">
        <v>748</v>
      </c>
      <c r="B50" s="182" t="s">
        <v>1099</v>
      </c>
      <c r="C50" s="186" t="s">
        <v>2099</v>
      </c>
      <c r="D50" s="230" t="s">
        <v>2099</v>
      </c>
      <c r="E50" s="182" t="s">
        <v>1069</v>
      </c>
      <c r="F50" s="182" t="s">
        <v>748</v>
      </c>
      <c r="G50" s="182" t="s">
        <v>13177</v>
      </c>
      <c r="H50" s="183" t="s">
        <v>15973</v>
      </c>
      <c r="I50" s="184" t="s">
        <v>2398</v>
      </c>
      <c r="J50" s="184" t="s">
        <v>13540</v>
      </c>
      <c r="K50" s="224" t="s">
        <v>15974</v>
      </c>
      <c r="L50" s="224" t="s">
        <v>15975</v>
      </c>
      <c r="M50" s="224" t="s">
        <v>15826</v>
      </c>
      <c r="N50" s="224" t="s">
        <v>15827</v>
      </c>
      <c r="O50" s="224" t="s">
        <v>1069</v>
      </c>
      <c r="P50" s="185" t="s">
        <v>12407</v>
      </c>
      <c r="Q50" s="225" t="s">
        <v>15829</v>
      </c>
      <c r="R50" s="182" t="str">
        <f ca="1">IF(ISERROR($V50),"",OFFSET('Smelter Look-up'!$C$4,$V50-4,0)&amp;"")</f>
        <v>Gejiu Non-Ferrous Metal Processing Co., Ltd.</v>
      </c>
      <c r="S50" s="181" t="str">
        <f t="shared" ca="1" si="5"/>
        <v>CN</v>
      </c>
      <c r="T50" s="181" t="str">
        <f ca="1">IF(B50="","",IF(ISERROR(MATCH($J50,SorP!$B$1:$B$6226,0)),"",INDIRECT("'SorP'!$A$"&amp;MATCH($S50&amp;$J50,SorP!C:C,0))))</f>
        <v>CN-YN</v>
      </c>
      <c r="U50" s="201"/>
      <c r="V50" s="226">
        <f>IF(C50="",NA(),IF(OR(C50="Smelter not listed",C50="Smelter not yet identified"),MATCH($B50&amp;$D50,'Smelter Look-up'!$J:$J,0),MATCH($B50&amp;$C50,'Smelter Look-up'!$J:$J,0)))</f>
        <v>443</v>
      </c>
      <c r="X50" s="227">
        <f t="shared" si="6"/>
        <v>0</v>
      </c>
      <c r="AB50" s="228" t="str">
        <f t="shared" si="7"/>
        <v>TinGejiu Non-Ferrous Metal Processing Co., Ltd.</v>
      </c>
    </row>
    <row r="51" spans="1:28" s="227" customFormat="1" ht="51">
      <c r="A51" s="181" t="s">
        <v>730</v>
      </c>
      <c r="B51" s="182" t="s">
        <v>1100</v>
      </c>
      <c r="C51" s="186" t="s">
        <v>14945</v>
      </c>
      <c r="D51" s="230" t="s">
        <v>14945</v>
      </c>
      <c r="E51" s="182" t="s">
        <v>1069</v>
      </c>
      <c r="F51" s="182" t="s">
        <v>730</v>
      </c>
      <c r="G51" s="182" t="s">
        <v>13177</v>
      </c>
      <c r="H51" s="183" t="s">
        <v>15976</v>
      </c>
      <c r="I51" s="184" t="s">
        <v>1681</v>
      </c>
      <c r="J51" s="184" t="s">
        <v>13536</v>
      </c>
      <c r="K51" s="224" t="s">
        <v>15977</v>
      </c>
      <c r="L51" s="224" t="s">
        <v>15978</v>
      </c>
      <c r="M51" s="224" t="s">
        <v>15833</v>
      </c>
      <c r="N51" s="224" t="s">
        <v>15827</v>
      </c>
      <c r="O51" s="224" t="s">
        <v>15979</v>
      </c>
      <c r="P51" s="185" t="s">
        <v>12407</v>
      </c>
      <c r="Q51" s="225" t="s">
        <v>15829</v>
      </c>
      <c r="R51" s="182" t="str">
        <f ca="1">IF(ISERROR($V51),"",OFFSET('Smelter Look-up'!$C$4,$V51-4,0)&amp;"")</f>
        <v>XIMEI RESOURCES (GUANGDONG) LIMITED</v>
      </c>
      <c r="S51" s="181" t="str">
        <f t="shared" ca="1" si="5"/>
        <v>CN</v>
      </c>
      <c r="T51" s="181" t="str">
        <f ca="1">IF(B51="","",IF(ISERROR(MATCH($J51,SorP!$B$1:$B$6226,0)),"",INDIRECT("'SorP'!$A$"&amp;MATCH($S51&amp;$J51,SorP!C:C,0))))</f>
        <v>CN-GD</v>
      </c>
      <c r="U51" s="201"/>
      <c r="V51" s="226">
        <f>IF(C51="",NA(),IF(OR(C51="Smelter not listed",C51="Smelter not yet identified"),MATCH($B51&amp;$D51,'Smelter Look-up'!$J:$J,0),MATCH($B51&amp;$C51,'Smelter Look-up'!$J:$J,0)))</f>
        <v>391</v>
      </c>
      <c r="X51" s="227">
        <f t="shared" si="6"/>
        <v>0</v>
      </c>
      <c r="AB51" s="228" t="str">
        <f t="shared" si="7"/>
        <v>TantalumXIMEI RESOURCES (GUANGDONG) LIMITED</v>
      </c>
    </row>
    <row r="52" spans="1:28" s="227" customFormat="1" ht="25.5">
      <c r="A52" s="181" t="s">
        <v>660</v>
      </c>
      <c r="B52" s="182" t="s">
        <v>1098</v>
      </c>
      <c r="C52" s="186" t="s">
        <v>2452</v>
      </c>
      <c r="D52" s="230" t="s">
        <v>2452</v>
      </c>
      <c r="E52" s="182" t="s">
        <v>1069</v>
      </c>
      <c r="F52" s="182" t="s">
        <v>660</v>
      </c>
      <c r="G52" s="182" t="s">
        <v>13177</v>
      </c>
      <c r="H52" s="183" t="s">
        <v>15980</v>
      </c>
      <c r="I52" s="184" t="s">
        <v>1555</v>
      </c>
      <c r="J52" s="184" t="s">
        <v>15604</v>
      </c>
      <c r="K52" s="224" t="s">
        <v>15981</v>
      </c>
      <c r="L52" s="224" t="s">
        <v>15982</v>
      </c>
      <c r="M52" s="224" t="s">
        <v>15826</v>
      </c>
      <c r="N52" s="224" t="s">
        <v>15827</v>
      </c>
      <c r="O52" s="224" t="s">
        <v>15983</v>
      </c>
      <c r="P52" s="185" t="s">
        <v>12407</v>
      </c>
      <c r="Q52" s="225" t="s">
        <v>15829</v>
      </c>
      <c r="R52" s="182" t="str">
        <f ca="1">IF(ISERROR($V52),"",OFFSET('Smelter Look-up'!$C$4,$V52-4,0)&amp;"")</f>
        <v>Heraeus Metals Hong Kong Ltd.</v>
      </c>
      <c r="S52" s="181" t="str">
        <f t="shared" ca="1" si="5"/>
        <v>CN</v>
      </c>
      <c r="T52" s="181" t="str">
        <f ca="1">IF(B52="","",IF(ISERROR(MATCH($J52,SorP!$B$1:$B$6226,0)),"",INDIRECT("'SorP'!$A$"&amp;MATCH($S52&amp;$J52,SorP!C:C,0))))</f>
        <v>CN-HK</v>
      </c>
      <c r="U52" s="201"/>
      <c r="V52" s="226">
        <f>IF(C52="",NA(),IF(OR(C52="Smelter not listed",C52="Smelter not yet identified"),MATCH($B52&amp;$D52,'Smelter Look-up'!$J:$J,0),MATCH($B52&amp;$C52,'Smelter Look-up'!$J:$J,0)))</f>
        <v>110</v>
      </c>
      <c r="X52" s="227">
        <f t="shared" si="6"/>
        <v>0</v>
      </c>
      <c r="AB52" s="228" t="str">
        <f t="shared" si="7"/>
        <v>GoldHeraeus Metals Hong Kong Ltd.</v>
      </c>
    </row>
    <row r="53" spans="1:28" s="227" customFormat="1" ht="102">
      <c r="A53" s="181" t="s">
        <v>664</v>
      </c>
      <c r="B53" s="182" t="s">
        <v>1098</v>
      </c>
      <c r="C53" s="186" t="s">
        <v>2250</v>
      </c>
      <c r="D53" s="230" t="s">
        <v>2250</v>
      </c>
      <c r="E53" s="182" t="s">
        <v>1069</v>
      </c>
      <c r="F53" s="182" t="s">
        <v>664</v>
      </c>
      <c r="G53" s="182" t="s">
        <v>13177</v>
      </c>
      <c r="H53" s="183" t="s">
        <v>15984</v>
      </c>
      <c r="I53" s="184" t="s">
        <v>1559</v>
      </c>
      <c r="J53" s="184" t="s">
        <v>13514</v>
      </c>
      <c r="K53" s="224" t="s">
        <v>15840</v>
      </c>
      <c r="L53" s="224" t="s">
        <v>15985</v>
      </c>
      <c r="M53" s="224" t="s">
        <v>15869</v>
      </c>
      <c r="N53" s="224"/>
      <c r="O53" s="224" t="s">
        <v>15986</v>
      </c>
      <c r="P53" s="185" t="s">
        <v>12407</v>
      </c>
      <c r="Q53" s="225" t="s">
        <v>15829</v>
      </c>
      <c r="R53" s="182" t="str">
        <f ca="1">IF(ISERROR($V53),"",OFFSET('Smelter Look-up'!$C$4,$V53-4,0)&amp;"")</f>
        <v>Inner Mongolia Qiankun Gold and Silver Refinery Share Co., Ltd.</v>
      </c>
      <c r="S53" s="181" t="str">
        <f t="shared" ca="1" si="5"/>
        <v>CN</v>
      </c>
      <c r="T53" s="181" t="str">
        <f ca="1">IF(B53="","",IF(ISERROR(MATCH($J53,SorP!$B$1:$B$6226,0)),"",INDIRECT("'SorP'!$A$"&amp;MATCH($S53&amp;$J53,SorP!C:C,0))))</f>
        <v>CN-NM</v>
      </c>
      <c r="U53" s="201"/>
      <c r="V53" s="226">
        <f>IF(C53="",NA(),IF(OR(C53="Smelter not listed",C53="Smelter not yet identified"),MATCH($B53&amp;$D53,'Smelter Look-up'!$J:$J,0),MATCH($B53&amp;$C53,'Smelter Look-up'!$J:$J,0)))</f>
        <v>121</v>
      </c>
      <c r="X53" s="227">
        <f t="shared" si="6"/>
        <v>0</v>
      </c>
      <c r="AB53" s="228" t="str">
        <f t="shared" si="7"/>
        <v>GoldInner Mongolia Qiankun Gold and Silver Refinery Share Co., Ltd.</v>
      </c>
    </row>
    <row r="54" spans="1:28" s="227" customFormat="1" ht="89.25">
      <c r="A54" s="181" t="s">
        <v>668</v>
      </c>
      <c r="B54" s="182" t="s">
        <v>1098</v>
      </c>
      <c r="C54" s="186" t="s">
        <v>2251</v>
      </c>
      <c r="D54" s="230" t="s">
        <v>2251</v>
      </c>
      <c r="E54" s="182" t="s">
        <v>1069</v>
      </c>
      <c r="F54" s="182" t="s">
        <v>668</v>
      </c>
      <c r="G54" s="182" t="s">
        <v>13177</v>
      </c>
      <c r="H54" s="183" t="s">
        <v>15987</v>
      </c>
      <c r="I54" s="184" t="s">
        <v>1563</v>
      </c>
      <c r="J54" s="184" t="s">
        <v>13531</v>
      </c>
      <c r="K54" s="224" t="s">
        <v>15988</v>
      </c>
      <c r="L54" s="224" t="s">
        <v>15989</v>
      </c>
      <c r="M54" s="224" t="s">
        <v>15869</v>
      </c>
      <c r="N54" s="224"/>
      <c r="O54" s="224" t="s">
        <v>15990</v>
      </c>
      <c r="P54" s="185" t="s">
        <v>12407</v>
      </c>
      <c r="Q54" s="225" t="s">
        <v>15829</v>
      </c>
      <c r="R54" s="182" t="str">
        <f ca="1">IF(ISERROR($V54),"",OFFSET('Smelter Look-up'!$C$4,$V54-4,0)&amp;"")</f>
        <v>Jiangxi Copper Co., Ltd.</v>
      </c>
      <c r="S54" s="181" t="str">
        <f t="shared" ca="1" si="5"/>
        <v>CN</v>
      </c>
      <c r="T54" s="181" t="str">
        <f ca="1">IF(B54="","",IF(ISERROR(MATCH($J54,SorP!$B$1:$B$6226,0)),"",INDIRECT("'SorP'!$A$"&amp;MATCH($S54&amp;$J54,SorP!C:C,0))))</f>
        <v>CN-JX</v>
      </c>
      <c r="U54" s="201"/>
      <c r="V54" s="226">
        <f>IF(C54="",NA(),IF(OR(C54="Smelter not listed",C54="Smelter not yet identified"),MATCH($B54&amp;$D54,'Smelter Look-up'!$J:$J,0),MATCH($B54&amp;$C54,'Smelter Look-up'!$J:$J,0)))</f>
        <v>129</v>
      </c>
      <c r="X54" s="227">
        <f t="shared" si="6"/>
        <v>0</v>
      </c>
      <c r="AB54" s="228" t="str">
        <f t="shared" si="7"/>
        <v>GoldJiangxi Copper Co., Ltd.</v>
      </c>
    </row>
    <row r="55" spans="1:28" s="227" customFormat="1" ht="51">
      <c r="A55" s="181" t="s">
        <v>731</v>
      </c>
      <c r="B55" s="182" t="s">
        <v>1100</v>
      </c>
      <c r="C55" s="186" t="s">
        <v>2</v>
      </c>
      <c r="D55" s="230" t="s">
        <v>2</v>
      </c>
      <c r="E55" s="182" t="s">
        <v>1069</v>
      </c>
      <c r="F55" s="182" t="s">
        <v>731</v>
      </c>
      <c r="G55" s="182" t="s">
        <v>13177</v>
      </c>
      <c r="H55" s="183" t="s">
        <v>15991</v>
      </c>
      <c r="I55" s="184" t="s">
        <v>1682</v>
      </c>
      <c r="J55" s="184" t="s">
        <v>13531</v>
      </c>
      <c r="K55" s="224" t="s">
        <v>15992</v>
      </c>
      <c r="L55" s="224" t="s">
        <v>15993</v>
      </c>
      <c r="M55" s="224" t="s">
        <v>15886</v>
      </c>
      <c r="N55" s="224" t="s">
        <v>15827</v>
      </c>
      <c r="O55" s="224" t="s">
        <v>15994</v>
      </c>
      <c r="P55" s="185" t="s">
        <v>12407</v>
      </c>
      <c r="Q55" s="225" t="s">
        <v>15829</v>
      </c>
      <c r="R55" s="182" t="str">
        <f ca="1">IF(ISERROR($V55),"",OFFSET('Smelter Look-up'!$C$4,$V55-4,0)&amp;"")</f>
        <v>JiuJiang JinXin Nonferrous Metals Co., Ltd.</v>
      </c>
      <c r="S55" s="181" t="str">
        <f t="shared" ca="1" si="5"/>
        <v>CN</v>
      </c>
      <c r="T55" s="181" t="str">
        <f ca="1">IF(B55="","",IF(ISERROR(MATCH($J55,SorP!$B$1:$B$6226,0)),"",INDIRECT("'SorP'!$A$"&amp;MATCH($S55&amp;$J55,SorP!C:C,0))))</f>
        <v>CN-JX</v>
      </c>
      <c r="U55" s="201"/>
      <c r="V55" s="226">
        <f>IF(C55="",NA(),IF(OR(C55="Smelter not listed",C55="Smelter not yet identified"),MATCH($B55&amp;$D55,'Smelter Look-up'!$J:$J,0),MATCH($B55&amp;$C55,'Smelter Look-up'!$J:$J,0)))</f>
        <v>353</v>
      </c>
      <c r="X55" s="227">
        <f t="shared" si="6"/>
        <v>0</v>
      </c>
      <c r="AB55" s="228" t="str">
        <f t="shared" si="7"/>
        <v>TantalumJiuJiang JinXin Nonferrous Metals Co., Ltd.</v>
      </c>
    </row>
    <row r="56" spans="1:28" s="227" customFormat="1" ht="51">
      <c r="A56" s="181" t="s">
        <v>732</v>
      </c>
      <c r="B56" s="182" t="s">
        <v>1100</v>
      </c>
      <c r="C56" s="186" t="s">
        <v>44</v>
      </c>
      <c r="D56" s="230" t="s">
        <v>44</v>
      </c>
      <c r="E56" s="182" t="s">
        <v>1069</v>
      </c>
      <c r="F56" s="182" t="s">
        <v>732</v>
      </c>
      <c r="G56" s="182" t="s">
        <v>13177</v>
      </c>
      <c r="H56" s="183" t="s">
        <v>15995</v>
      </c>
      <c r="I56" s="184" t="s">
        <v>1682</v>
      </c>
      <c r="J56" s="184" t="s">
        <v>13531</v>
      </c>
      <c r="K56" s="224" t="s">
        <v>15996</v>
      </c>
      <c r="L56" s="224" t="s">
        <v>15997</v>
      </c>
      <c r="M56" s="224" t="s">
        <v>15833</v>
      </c>
      <c r="N56" s="224" t="s">
        <v>15827</v>
      </c>
      <c r="O56" s="224" t="s">
        <v>15998</v>
      </c>
      <c r="P56" s="185" t="s">
        <v>12407</v>
      </c>
      <c r="Q56" s="225" t="s">
        <v>15829</v>
      </c>
      <c r="R56" s="182" t="str">
        <f ca="1">IF(ISERROR($V56),"",OFFSET('Smelter Look-up'!$C$4,$V56-4,0)&amp;"")</f>
        <v>Jiujiang Tanbre Co., Ltd.</v>
      </c>
      <c r="S56" s="181" t="str">
        <f t="shared" ca="1" si="5"/>
        <v>CN</v>
      </c>
      <c r="T56" s="181" t="str">
        <f ca="1">IF(B56="","",IF(ISERROR(MATCH($J56,SorP!$B$1:$B$6226,0)),"",INDIRECT("'SorP'!$A$"&amp;MATCH($S56&amp;$J56,SorP!C:C,0))))</f>
        <v>CN-JX</v>
      </c>
      <c r="U56" s="201"/>
      <c r="V56" s="226">
        <f>IF(C56="",NA(),IF(OR(C56="Smelter not listed",C56="Smelter not yet identified"),MATCH($B56&amp;$D56,'Smelter Look-up'!$J:$J,0),MATCH($B56&amp;$C56,'Smelter Look-up'!$J:$J,0)))</f>
        <v>355</v>
      </c>
      <c r="X56" s="227">
        <f t="shared" si="6"/>
        <v>0</v>
      </c>
      <c r="AB56" s="228" t="str">
        <f t="shared" si="7"/>
        <v>TantalumJiujiang Tanbre Co., Ltd.</v>
      </c>
    </row>
    <row r="57" spans="1:28" s="227" customFormat="1" ht="89.25">
      <c r="A57" s="181" t="s">
        <v>751</v>
      </c>
      <c r="B57" s="182" t="s">
        <v>1099</v>
      </c>
      <c r="C57" s="186" t="s">
        <v>1293</v>
      </c>
      <c r="D57" s="230" t="s">
        <v>1293</v>
      </c>
      <c r="E57" s="182" t="s">
        <v>1069</v>
      </c>
      <c r="F57" s="182" t="s">
        <v>751</v>
      </c>
      <c r="G57" s="182" t="s">
        <v>13177</v>
      </c>
      <c r="H57" s="183" t="s">
        <v>15999</v>
      </c>
      <c r="I57" s="184" t="s">
        <v>1734</v>
      </c>
      <c r="J57" s="184" t="s">
        <v>13515</v>
      </c>
      <c r="K57" s="224" t="s">
        <v>16000</v>
      </c>
      <c r="L57" s="224" t="s">
        <v>16001</v>
      </c>
      <c r="M57" s="224" t="s">
        <v>15826</v>
      </c>
      <c r="N57" s="224" t="s">
        <v>15827</v>
      </c>
      <c r="O57" s="224" t="s">
        <v>16002</v>
      </c>
      <c r="P57" s="185" t="s">
        <v>12407</v>
      </c>
      <c r="Q57" s="225" t="s">
        <v>15829</v>
      </c>
      <c r="R57" s="182" t="str">
        <f ca="1">IF(ISERROR($V57),"",OFFSET('Smelter Look-up'!$C$4,$V57-4,0)&amp;"")</f>
        <v>China Tin Group Co., Ltd.</v>
      </c>
      <c r="S57" s="181" t="str">
        <f t="shared" ca="1" si="5"/>
        <v>CN</v>
      </c>
      <c r="T57" s="181" t="str">
        <f ca="1">IF(B57="","",IF(ISERROR(MATCH($J57,SorP!$B$1:$B$6226,0)),"",INDIRECT("'SorP'!$A$"&amp;MATCH($S57&amp;$J57,SorP!C:C,0))))</f>
        <v>CN-GX</v>
      </c>
      <c r="U57" s="201"/>
      <c r="V57" s="226">
        <f>IF(C57="",NA(),IF(OR(C57="Smelter not listed",C57="Smelter not yet identified"),MATCH($B57&amp;$D57,'Smelter Look-up'!$J:$J,0),MATCH($B57&amp;$C57,'Smelter Look-up'!$J:$J,0)))</f>
        <v>411</v>
      </c>
      <c r="X57" s="227">
        <f t="shared" si="6"/>
        <v>0</v>
      </c>
      <c r="AB57" s="228" t="str">
        <f t="shared" si="7"/>
        <v>TinChina Tin Group Co., Ltd.</v>
      </c>
    </row>
    <row r="58" spans="1:28" s="227" customFormat="1" ht="165.75">
      <c r="A58" s="181" t="s">
        <v>1586</v>
      </c>
      <c r="B58" s="182" t="s">
        <v>1098</v>
      </c>
      <c r="C58" s="186" t="s">
        <v>1585</v>
      </c>
      <c r="D58" s="230" t="s">
        <v>1585</v>
      </c>
      <c r="E58" s="182" t="s">
        <v>1069</v>
      </c>
      <c r="F58" s="182" t="s">
        <v>1586</v>
      </c>
      <c r="G58" s="182" t="s">
        <v>13177</v>
      </c>
      <c r="H58" s="183" t="s">
        <v>16003</v>
      </c>
      <c r="I58" s="184" t="s">
        <v>2464</v>
      </c>
      <c r="J58" s="184" t="s">
        <v>13544</v>
      </c>
      <c r="K58" s="224" t="s">
        <v>16004</v>
      </c>
      <c r="L58" s="224" t="s">
        <v>16005</v>
      </c>
      <c r="M58" s="224" t="s">
        <v>16006</v>
      </c>
      <c r="N58" s="224" t="s">
        <v>15827</v>
      </c>
      <c r="O58" s="224" t="s">
        <v>16007</v>
      </c>
      <c r="P58" s="185" t="s">
        <v>12407</v>
      </c>
      <c r="Q58" s="225" t="s">
        <v>15829</v>
      </c>
      <c r="R58" s="182" t="str">
        <f ca="1">IF(ISERROR($V58),"",OFFSET('Smelter Look-up'!$C$4,$V58-4,0)&amp;"")</f>
        <v>Metalor Technologies (Suzhou) Ltd.</v>
      </c>
      <c r="S58" s="181" t="str">
        <f t="shared" ca="1" si="5"/>
        <v>CN</v>
      </c>
      <c r="T58" s="181" t="str">
        <f ca="1">IF(B58="","",IF(ISERROR(MATCH($J58,SorP!$B$1:$B$6226,0)),"",INDIRECT("'SorP'!$A$"&amp;MATCH($S58&amp;$J58,SorP!C:C,0))))</f>
        <v>CN-JS</v>
      </c>
      <c r="U58" s="201"/>
      <c r="V58" s="226">
        <f>IF(C58="",NA(),IF(OR(C58="Smelter not listed",C58="Smelter not yet identified"),MATCH($B58&amp;$D58,'Smelter Look-up'!$J:$J,0),MATCH($B58&amp;$C58,'Smelter Look-up'!$J:$J,0)))</f>
        <v>180</v>
      </c>
      <c r="X58" s="227">
        <f t="shared" si="6"/>
        <v>0</v>
      </c>
      <c r="AB58" s="228" t="str">
        <f t="shared" si="7"/>
        <v>GoldMetalor Technologies (Suzhou) Ltd.</v>
      </c>
    </row>
    <row r="59" spans="1:28" s="227" customFormat="1" ht="127.5">
      <c r="A59" s="181" t="s">
        <v>686</v>
      </c>
      <c r="B59" s="182" t="s">
        <v>1098</v>
      </c>
      <c r="C59" s="186" t="s">
        <v>2105</v>
      </c>
      <c r="D59" s="230" t="s">
        <v>2105</v>
      </c>
      <c r="E59" s="182" t="s">
        <v>1069</v>
      </c>
      <c r="F59" s="182" t="s">
        <v>686</v>
      </c>
      <c r="G59" s="182" t="s">
        <v>13177</v>
      </c>
      <c r="H59" s="183" t="s">
        <v>16008</v>
      </c>
      <c r="I59" s="184" t="s">
        <v>1587</v>
      </c>
      <c r="J59" s="184" t="s">
        <v>15604</v>
      </c>
      <c r="K59" s="224" t="s">
        <v>16009</v>
      </c>
      <c r="L59" s="224" t="s">
        <v>16010</v>
      </c>
      <c r="M59" s="224" t="s">
        <v>15826</v>
      </c>
      <c r="N59" s="224" t="s">
        <v>15827</v>
      </c>
      <c r="O59" s="224" t="s">
        <v>16011</v>
      </c>
      <c r="P59" s="185" t="s">
        <v>12407</v>
      </c>
      <c r="Q59" s="225" t="s">
        <v>15829</v>
      </c>
      <c r="R59" s="182" t="str">
        <f ca="1">IF(ISERROR($V59),"",OFFSET('Smelter Look-up'!$C$4,$V59-4,0)&amp;"")</f>
        <v>Metalor Technologies (Hong Kong) Ltd.</v>
      </c>
      <c r="S59" s="181" t="str">
        <f t="shared" ca="1" si="5"/>
        <v>CN</v>
      </c>
      <c r="T59" s="181" t="str">
        <f ca="1">IF(B59="","",IF(ISERROR(MATCH($J59,SorP!$B$1:$B$6226,0)),"",INDIRECT("'SorP'!$A$"&amp;MATCH($S59&amp;$J59,SorP!C:C,0))))</f>
        <v>CN-HK</v>
      </c>
      <c r="U59" s="201"/>
      <c r="V59" s="226">
        <f>IF(C59="",NA(),IF(OR(C59="Smelter not listed",C59="Smelter not yet identified"),MATCH($B59&amp;$D59,'Smelter Look-up'!$J:$J,0),MATCH($B59&amp;$C59,'Smelter Look-up'!$J:$J,0)))</f>
        <v>178</v>
      </c>
      <c r="X59" s="227">
        <f t="shared" si="6"/>
        <v>0</v>
      </c>
      <c r="AB59" s="228" t="str">
        <f t="shared" si="7"/>
        <v>GoldMetalor Technologies (Hong Kong) Ltd.</v>
      </c>
    </row>
    <row r="60" spans="1:28" s="227" customFormat="1" ht="140.25">
      <c r="A60" s="181" t="s">
        <v>1746</v>
      </c>
      <c r="B60" s="182" t="s">
        <v>1099</v>
      </c>
      <c r="C60" s="186" t="s">
        <v>13119</v>
      </c>
      <c r="D60" s="230" t="s">
        <v>13119</v>
      </c>
      <c r="E60" s="182" t="s">
        <v>1069</v>
      </c>
      <c r="F60" s="182" t="s">
        <v>1746</v>
      </c>
      <c r="G60" s="182" t="s">
        <v>13177</v>
      </c>
      <c r="H60" s="183" t="s">
        <v>16012</v>
      </c>
      <c r="I60" s="184" t="s">
        <v>1732</v>
      </c>
      <c r="J60" s="184" t="s">
        <v>13531</v>
      </c>
      <c r="K60" s="224" t="s">
        <v>16013</v>
      </c>
      <c r="L60" s="224" t="s">
        <v>16014</v>
      </c>
      <c r="M60" s="224" t="s">
        <v>15826</v>
      </c>
      <c r="N60" s="224" t="s">
        <v>15827</v>
      </c>
      <c r="O60" s="224" t="s">
        <v>16015</v>
      </c>
      <c r="P60" s="185" t="s">
        <v>12407</v>
      </c>
      <c r="Q60" s="225" t="s">
        <v>15829</v>
      </c>
      <c r="R60" s="182" t="str">
        <f ca="1">IF(ISERROR($V60),"",OFFSET('Smelter Look-up'!$C$4,$V60-4,0)&amp;"")</f>
        <v>Jiangxi New Nanshan Technology Ltd.</v>
      </c>
      <c r="S60" s="181" t="str">
        <f t="shared" ca="1" si="5"/>
        <v>CN</v>
      </c>
      <c r="T60" s="181" t="str">
        <f ca="1">IF(B60="","",IF(ISERROR(MATCH($J60,SorP!$B$1:$B$6226,0)),"",INDIRECT("'SorP'!$A$"&amp;MATCH($S60&amp;$J60,SorP!C:C,0))))</f>
        <v>CN-JX</v>
      </c>
      <c r="U60" s="201"/>
      <c r="V60" s="226">
        <f>IF(C60="",NA(),IF(OR(C60="Smelter not listed",C60="Smelter not yet identified"),MATCH($B60&amp;$D60,'Smelter Look-up'!$J:$J,0),MATCH($B60&amp;$C60,'Smelter Look-up'!$J:$J,0)))</f>
        <v>458</v>
      </c>
      <c r="X60" s="227">
        <f t="shared" si="6"/>
        <v>0</v>
      </c>
      <c r="AB60" s="228" t="str">
        <f t="shared" si="7"/>
        <v>TinJiangxi New Nanshan Technology Ltd.</v>
      </c>
    </row>
    <row r="61" spans="1:28" s="227" customFormat="1" ht="63.75">
      <c r="A61" s="181" t="s">
        <v>738</v>
      </c>
      <c r="B61" s="182" t="s">
        <v>1100</v>
      </c>
      <c r="C61" s="186" t="s">
        <v>999</v>
      </c>
      <c r="D61" s="230" t="s">
        <v>999</v>
      </c>
      <c r="E61" s="182" t="s">
        <v>1069</v>
      </c>
      <c r="F61" s="182" t="s">
        <v>738</v>
      </c>
      <c r="G61" s="182" t="s">
        <v>13177</v>
      </c>
      <c r="H61" s="183" t="s">
        <v>16016</v>
      </c>
      <c r="I61" s="184" t="s">
        <v>1692</v>
      </c>
      <c r="J61" s="184" t="s">
        <v>13517</v>
      </c>
      <c r="K61" s="224" t="s">
        <v>16017</v>
      </c>
      <c r="L61" s="224" t="s">
        <v>16018</v>
      </c>
      <c r="M61" s="224" t="s">
        <v>15886</v>
      </c>
      <c r="N61" s="224" t="s">
        <v>15827</v>
      </c>
      <c r="O61" s="224" t="s">
        <v>15964</v>
      </c>
      <c r="P61" s="185" t="s">
        <v>12407</v>
      </c>
      <c r="Q61" s="225" t="s">
        <v>15829</v>
      </c>
      <c r="R61" s="182" t="str">
        <f ca="1">IF(ISERROR($V61),"",OFFSET('Smelter Look-up'!$C$4,$V61-4,0)&amp;"")</f>
        <v>Ningxia Orient Tantalum Industry Co., Ltd.</v>
      </c>
      <c r="S61" s="181" t="str">
        <f t="shared" ca="1" si="5"/>
        <v>CN</v>
      </c>
      <c r="T61" s="181" t="str">
        <f ca="1">IF(B61="","",IF(ISERROR(MATCH($J61,SorP!$B$1:$B$6226,0)),"",INDIRECT("'SorP'!$A$"&amp;MATCH($S61&amp;$J61,SorP!C:C,0))))</f>
        <v>CN-NX</v>
      </c>
      <c r="U61" s="201"/>
      <c r="V61" s="226">
        <f>IF(C61="",NA(),IF(OR(C61="Smelter not listed",C61="Smelter not yet identified"),MATCH($B61&amp;$D61,'Smelter Look-up'!$J:$J,0),MATCH($B61&amp;$C61,'Smelter Look-up'!$J:$J,0)))</f>
        <v>370</v>
      </c>
      <c r="X61" s="227">
        <f t="shared" si="6"/>
        <v>0</v>
      </c>
      <c r="AB61" s="228" t="str">
        <f t="shared" si="7"/>
        <v>TantalumNingxia Orient Tantalum Industry Co., Ltd.</v>
      </c>
    </row>
    <row r="62" spans="1:28" s="227" customFormat="1" ht="102">
      <c r="A62" s="181" t="s">
        <v>739</v>
      </c>
      <c r="B62" s="182" t="s">
        <v>1100</v>
      </c>
      <c r="C62" s="186" t="s">
        <v>13196</v>
      </c>
      <c r="D62" s="230" t="s">
        <v>13196</v>
      </c>
      <c r="E62" s="182" t="s">
        <v>1069</v>
      </c>
      <c r="F62" s="182" t="s">
        <v>739</v>
      </c>
      <c r="G62" s="182" t="s">
        <v>13177</v>
      </c>
      <c r="H62" s="183" t="s">
        <v>16019</v>
      </c>
      <c r="I62" s="184" t="s">
        <v>1694</v>
      </c>
      <c r="J62" s="184" t="s">
        <v>13535</v>
      </c>
      <c r="K62" s="224" t="s">
        <v>16020</v>
      </c>
      <c r="L62" s="224" t="s">
        <v>16021</v>
      </c>
      <c r="M62" s="224" t="s">
        <v>15886</v>
      </c>
      <c r="N62" s="224"/>
      <c r="O62" s="224" t="s">
        <v>16022</v>
      </c>
      <c r="P62" s="185" t="s">
        <v>476</v>
      </c>
      <c r="Q62" s="225" t="s">
        <v>15829</v>
      </c>
      <c r="R62" s="182" t="str">
        <f ca="1">IF(ISERROR($V62),"",OFFSET('Smelter Look-up'!$C$4,$V62-4,0)&amp;"")</f>
        <v>Yanling Jincheng Tantalum &amp; Niobium Co., Ltd.</v>
      </c>
      <c r="S62" s="181" t="str">
        <f t="shared" ca="1" si="5"/>
        <v>CN</v>
      </c>
      <c r="T62" s="181" t="str">
        <f ca="1">IF(B62="","",IF(ISERROR(MATCH($J62,SorP!$B$1:$B$6226,0)),"",INDIRECT("'SorP'!$A$"&amp;MATCH($S62&amp;$J62,SorP!C:C,0))))</f>
        <v>CN-HN</v>
      </c>
      <c r="U62" s="201"/>
      <c r="V62" s="226">
        <f>IF(C62="",NA(),IF(OR(C62="Smelter not listed",C62="Smelter not yet identified"),MATCH($B62&amp;$D62,'Smelter Look-up'!$J:$J,0),MATCH($B62&amp;$C62,'Smelter Look-up'!$J:$J,0)))</f>
        <v>393</v>
      </c>
      <c r="X62" s="227">
        <f t="shared" si="6"/>
        <v>0</v>
      </c>
      <c r="AB62" s="228" t="str">
        <f t="shared" si="7"/>
        <v>TantalumYanling Jincheng Tantalum &amp; Niobium Co., Ltd.</v>
      </c>
    </row>
    <row r="63" spans="1:28" s="227" customFormat="1" ht="102">
      <c r="A63" s="181" t="s">
        <v>1357</v>
      </c>
      <c r="B63" s="182" t="s">
        <v>1098</v>
      </c>
      <c r="C63" s="186" t="s">
        <v>2115</v>
      </c>
      <c r="D63" s="230" t="s">
        <v>2115</v>
      </c>
      <c r="E63" s="182" t="s">
        <v>1069</v>
      </c>
      <c r="F63" s="182" t="s">
        <v>1357</v>
      </c>
      <c r="G63" s="182" t="s">
        <v>13177</v>
      </c>
      <c r="H63" s="183" t="s">
        <v>16023</v>
      </c>
      <c r="I63" s="184" t="s">
        <v>1625</v>
      </c>
      <c r="J63" s="184" t="s">
        <v>13538</v>
      </c>
      <c r="K63" s="224" t="s">
        <v>16024</v>
      </c>
      <c r="L63" s="224" t="s">
        <v>16025</v>
      </c>
      <c r="M63" s="224" t="s">
        <v>15875</v>
      </c>
      <c r="N63" s="224" t="s">
        <v>15827</v>
      </c>
      <c r="O63" s="224" t="s">
        <v>16026</v>
      </c>
      <c r="P63" s="185" t="s">
        <v>12407</v>
      </c>
      <c r="Q63" s="225" t="s">
        <v>15829</v>
      </c>
      <c r="R63" s="182" t="str">
        <f ca="1">IF(ISERROR($V63),"",OFFSET('Smelter Look-up'!$C$4,$V63-4,0)&amp;"")</f>
        <v>Sichuan Tianze Precious Metals Co., Ltd.</v>
      </c>
      <c r="S63" s="181" t="str">
        <f t="shared" ca="1" si="5"/>
        <v>CN</v>
      </c>
      <c r="T63" s="181" t="str">
        <f ca="1">IF(B63="","",IF(ISERROR(MATCH($J63,SorP!$B$1:$B$6226,0)),"",INDIRECT("'SorP'!$A$"&amp;MATCH($S63&amp;$J63,SorP!C:C,0))))</f>
        <v>CN-SC</v>
      </c>
      <c r="U63" s="201"/>
      <c r="V63" s="226">
        <f>IF(C63="",NA(),IF(OR(C63="Smelter not listed",C63="Smelter not yet identified"),MATCH($B63&amp;$D63,'Smelter Look-up'!$J:$J,0),MATCH($B63&amp;$C63,'Smelter Look-up'!$J:$J,0)))</f>
        <v>262</v>
      </c>
      <c r="X63" s="227">
        <f t="shared" si="6"/>
        <v>0</v>
      </c>
      <c r="AB63" s="228" t="str">
        <f t="shared" si="7"/>
        <v>GoldSichuan Tianze Precious Metals Co., Ltd.</v>
      </c>
    </row>
    <row r="64" spans="1:28" s="227" customFormat="1" ht="102">
      <c r="A64" s="181" t="s">
        <v>715</v>
      </c>
      <c r="B64" s="182" t="s">
        <v>1098</v>
      </c>
      <c r="C64" s="186" t="s">
        <v>14918</v>
      </c>
      <c r="D64" s="230" t="s">
        <v>14918</v>
      </c>
      <c r="E64" s="182" t="s">
        <v>1069</v>
      </c>
      <c r="F64" s="182" t="s">
        <v>715</v>
      </c>
      <c r="G64" s="182" t="s">
        <v>13177</v>
      </c>
      <c r="H64" s="183" t="s">
        <v>16027</v>
      </c>
      <c r="I64" s="184" t="s">
        <v>1621</v>
      </c>
      <c r="J64" s="184" t="s">
        <v>13532</v>
      </c>
      <c r="K64" s="224" t="s">
        <v>16028</v>
      </c>
      <c r="L64" s="224" t="s">
        <v>16029</v>
      </c>
      <c r="M64" s="224" t="s">
        <v>15833</v>
      </c>
      <c r="N64" s="224" t="s">
        <v>15827</v>
      </c>
      <c r="O64" s="224" t="s">
        <v>16030</v>
      </c>
      <c r="P64" s="185" t="s">
        <v>12407</v>
      </c>
      <c r="Q64" s="225" t="s">
        <v>15829</v>
      </c>
      <c r="R64" s="182" t="str">
        <f ca="1">IF(ISERROR($V64),"",OFFSET('Smelter Look-up'!$C$4,$V64-4,0)&amp;"")</f>
        <v>Shandong Gold Smelting Co., Ltd.</v>
      </c>
      <c r="S64" s="181" t="str">
        <f t="shared" ca="1" si="5"/>
        <v>CN</v>
      </c>
      <c r="T64" s="181" t="str">
        <f ca="1">IF(B64="","",IF(ISERROR(MATCH($J64,SorP!$B$1:$B$6226,0)),"",INDIRECT("'SorP'!$A$"&amp;MATCH($S64&amp;$J64,SorP!C:C,0))))</f>
        <v>CN-SD</v>
      </c>
      <c r="U64" s="201"/>
      <c r="V64" s="226">
        <f>IF(C64="",NA(),IF(OR(C64="Smelter not listed",C64="Smelter not yet identified"),MATCH($B64&amp;$D64,'Smelter Look-up'!$J:$J,0),MATCH($B64&amp;$C64,'Smelter Look-up'!$J:$J,0)))</f>
        <v>247</v>
      </c>
      <c r="X64" s="227">
        <f t="shared" si="6"/>
        <v>0</v>
      </c>
      <c r="AB64" s="228" t="str">
        <f t="shared" si="7"/>
        <v>GoldShandong Gold Smelting Co., Ltd.</v>
      </c>
    </row>
    <row r="65" spans="1:28" s="227" customFormat="1" ht="102">
      <c r="A65" s="181" t="s">
        <v>776</v>
      </c>
      <c r="B65" s="182" t="s">
        <v>1101</v>
      </c>
      <c r="C65" s="186" t="s">
        <v>1348</v>
      </c>
      <c r="D65" s="230" t="s">
        <v>1348</v>
      </c>
      <c r="E65" s="182" t="s">
        <v>1069</v>
      </c>
      <c r="F65" s="182" t="s">
        <v>776</v>
      </c>
      <c r="G65" s="182" t="s">
        <v>13177</v>
      </c>
      <c r="H65" s="183" t="s">
        <v>16031</v>
      </c>
      <c r="I65" s="184" t="s">
        <v>1788</v>
      </c>
      <c r="J65" s="184" t="s">
        <v>13530</v>
      </c>
      <c r="K65" s="224" t="s">
        <v>16032</v>
      </c>
      <c r="L65" s="224" t="s">
        <v>16033</v>
      </c>
      <c r="M65" s="224" t="s">
        <v>15826</v>
      </c>
      <c r="N65" s="224" t="s">
        <v>15827</v>
      </c>
      <c r="O65" s="224" t="s">
        <v>16034</v>
      </c>
      <c r="P65" s="185" t="s">
        <v>12407</v>
      </c>
      <c r="Q65" s="225" t="s">
        <v>15829</v>
      </c>
      <c r="R65" s="182" t="str">
        <f ca="1">IF(ISERROR($V65),"",OFFSET('Smelter Look-up'!$C$4,$V65-4,0)&amp;"")</f>
        <v>Xiamen Tungsten Co., Ltd.</v>
      </c>
      <c r="S65" s="181" t="str">
        <f t="shared" ca="1" si="5"/>
        <v>CN</v>
      </c>
      <c r="T65" s="181" t="str">
        <f ca="1">IF(B65="","",IF(ISERROR(MATCH($J65,SorP!$B$1:$B$6226,0)),"",INDIRECT("'SorP'!$A$"&amp;MATCH($S65&amp;$J65,SorP!C:C,0))))</f>
        <v>CN-FJ</v>
      </c>
      <c r="U65" s="201"/>
      <c r="V65" s="226">
        <f>IF(C65="",NA(),IF(OR(C65="Smelter not listed",C65="Smelter not yet identified"),MATCH($B65&amp;$D65,'Smelter Look-up'!$J:$J,0),MATCH($B65&amp;$C65,'Smelter Look-up'!$J:$J,0)))</f>
        <v>636</v>
      </c>
      <c r="X65" s="227">
        <f t="shared" si="6"/>
        <v>0</v>
      </c>
      <c r="AB65" s="228" t="str">
        <f t="shared" si="7"/>
        <v>TungstenXiamen Tungsten Co., Ltd.</v>
      </c>
    </row>
    <row r="66" spans="1:28" s="227" customFormat="1" ht="102">
      <c r="A66" s="181" t="s">
        <v>765</v>
      </c>
      <c r="B66" s="182" t="s">
        <v>1099</v>
      </c>
      <c r="C66" s="186" t="s">
        <v>2120</v>
      </c>
      <c r="D66" s="230" t="s">
        <v>2120</v>
      </c>
      <c r="E66" s="182" t="s">
        <v>1069</v>
      </c>
      <c r="F66" s="182" t="s">
        <v>765</v>
      </c>
      <c r="G66" s="182" t="s">
        <v>13177</v>
      </c>
      <c r="H66" s="183"/>
      <c r="I66" s="184" t="s">
        <v>2398</v>
      </c>
      <c r="J66" s="184" t="s">
        <v>13540</v>
      </c>
      <c r="K66" s="224" t="s">
        <v>16035</v>
      </c>
      <c r="L66" s="224" t="s">
        <v>16036</v>
      </c>
      <c r="M66" s="224" t="s">
        <v>16006</v>
      </c>
      <c r="N66" s="224" t="s">
        <v>15827</v>
      </c>
      <c r="O66" s="224" t="s">
        <v>16037</v>
      </c>
      <c r="P66" s="185" t="s">
        <v>12407</v>
      </c>
      <c r="Q66" s="225" t="s">
        <v>15829</v>
      </c>
      <c r="R66" s="182" t="str">
        <f ca="1">IF(ISERROR($V66),"",OFFSET('Smelter Look-up'!$C$4,$V66-4,0)&amp;"")</f>
        <v>Yunnan Chengfeng Non-ferrous Metals Co., Ltd.</v>
      </c>
      <c r="S66" s="181" t="str">
        <f t="shared" ca="1" si="5"/>
        <v>CN</v>
      </c>
      <c r="T66" s="181" t="str">
        <f ca="1">IF(B66="","",IF(ISERROR(MATCH($J66,SorP!$B$1:$B$6226,0)),"",INDIRECT("'SorP'!$A$"&amp;MATCH($S66&amp;$J66,SorP!C:C,0))))</f>
        <v>CN-YN</v>
      </c>
      <c r="U66" s="201"/>
      <c r="V66" s="226">
        <f>IF(C66="",NA(),IF(OR(C66="Smelter not listed",C66="Smelter not yet identified"),MATCH($B66&amp;$D66,'Smelter Look-up'!$J:$J,0),MATCH($B66&amp;$C66,'Smelter Look-up'!$J:$J,0)))</f>
        <v>539</v>
      </c>
      <c r="X66" s="227">
        <f t="shared" si="6"/>
        <v>0</v>
      </c>
      <c r="AB66" s="228" t="str">
        <f t="shared" si="7"/>
        <v>TinYunnan Chengfeng Non-ferrous Metals Co., Ltd.</v>
      </c>
    </row>
    <row r="67" spans="1:28" s="227" customFormat="1" ht="63.75">
      <c r="A67" s="181" t="s">
        <v>766</v>
      </c>
      <c r="B67" s="182" t="s">
        <v>1099</v>
      </c>
      <c r="C67" s="186" t="s">
        <v>15303</v>
      </c>
      <c r="D67" s="230" t="s">
        <v>15303</v>
      </c>
      <c r="E67" s="182" t="s">
        <v>1069</v>
      </c>
      <c r="F67" s="182" t="s">
        <v>766</v>
      </c>
      <c r="G67" s="182" t="s">
        <v>13177</v>
      </c>
      <c r="H67" s="183" t="s">
        <v>16038</v>
      </c>
      <c r="I67" s="184" t="s">
        <v>2398</v>
      </c>
      <c r="J67" s="184" t="s">
        <v>13540</v>
      </c>
      <c r="K67" s="224" t="s">
        <v>16039</v>
      </c>
      <c r="L67" s="224" t="s">
        <v>16040</v>
      </c>
      <c r="M67" s="224" t="s">
        <v>16006</v>
      </c>
      <c r="N67" s="224" t="s">
        <v>15827</v>
      </c>
      <c r="O67" s="224" t="s">
        <v>16041</v>
      </c>
      <c r="P67" s="185" t="s">
        <v>12407</v>
      </c>
      <c r="Q67" s="225" t="s">
        <v>15829</v>
      </c>
      <c r="R67" s="182" t="str">
        <f ca="1">IF(ISERROR($V67),"",OFFSET('Smelter Look-up'!$C$4,$V67-4,0)&amp;"")</f>
        <v>Tin Smelting Branch of Yunnan Tin Co., Ltd.</v>
      </c>
      <c r="S67" s="181" t="str">
        <f t="shared" ca="1" si="5"/>
        <v>CN</v>
      </c>
      <c r="T67" s="181" t="str">
        <f ca="1">IF(B67="","",IF(ISERROR(MATCH($J67,SorP!$B$1:$B$6226,0)),"",INDIRECT("'SorP'!$A$"&amp;MATCH($S67&amp;$J67,SorP!C:C,0))))</f>
        <v>CN-YN</v>
      </c>
      <c r="U67" s="201"/>
      <c r="V67" s="226">
        <f>IF(C67="",NA(),IF(OR(C67="Smelter not listed",C67="Smelter not yet identified"),MATCH($B67&amp;$D67,'Smelter Look-up'!$J:$J,0),MATCH($B67&amp;$C67,'Smelter Look-up'!$J:$J,0)))</f>
        <v>524</v>
      </c>
      <c r="X67" s="227">
        <f t="shared" si="6"/>
        <v>0</v>
      </c>
      <c r="AB67" s="228" t="str">
        <f t="shared" si="7"/>
        <v>TinTin Smelting Branch of Yunnan Tin Co., Ltd.</v>
      </c>
    </row>
    <row r="68" spans="1:28" s="227" customFormat="1" ht="102">
      <c r="A68" s="181" t="s">
        <v>726</v>
      </c>
      <c r="B68" s="182" t="s">
        <v>1098</v>
      </c>
      <c r="C68" s="186" t="s">
        <v>1291</v>
      </c>
      <c r="D68" s="230" t="s">
        <v>1291</v>
      </c>
      <c r="E68" s="182" t="s">
        <v>1069</v>
      </c>
      <c r="F68" s="182" t="s">
        <v>726</v>
      </c>
      <c r="G68" s="182" t="s">
        <v>13177</v>
      </c>
      <c r="H68" s="183" t="s">
        <v>16042</v>
      </c>
      <c r="I68" s="184" t="s">
        <v>1652</v>
      </c>
      <c r="J68" s="184" t="s">
        <v>13533</v>
      </c>
      <c r="K68" s="224" t="s">
        <v>15840</v>
      </c>
      <c r="L68" s="224" t="s">
        <v>16043</v>
      </c>
      <c r="M68" s="224" t="s">
        <v>15826</v>
      </c>
      <c r="N68" s="224"/>
      <c r="O68" s="224" t="s">
        <v>16044</v>
      </c>
      <c r="P68" s="185" t="s">
        <v>476</v>
      </c>
      <c r="Q68" s="225" t="s">
        <v>15829</v>
      </c>
      <c r="R68" s="182" t="str">
        <f ca="1">IF(ISERROR($V68),"",OFFSET('Smelter Look-up'!$C$4,$V68-4,0)&amp;"")</f>
        <v>Zhongyuan Gold Smelter of Zhongjin Gold Corporation</v>
      </c>
      <c r="S68" s="181" t="str">
        <f t="shared" ca="1" si="5"/>
        <v>CN</v>
      </c>
      <c r="T68" s="181" t="str">
        <f ca="1">IF(B68="","",IF(ISERROR(MATCH($J68,SorP!$B$1:$B$6226,0)),"",INDIRECT("'SorP'!$A$"&amp;MATCH($S68&amp;$J68,SorP!C:C,0))))</f>
        <v>CN-HA</v>
      </c>
      <c r="U68" s="201"/>
      <c r="V68" s="226">
        <f>IF(C68="",NA(),IF(OR(C68="Smelter not listed",C68="Smelter not yet identified"),MATCH($B68&amp;$D68,'Smelter Look-up'!$J:$J,0),MATCH($B68&amp;$C68,'Smelter Look-up'!$J:$J,0)))</f>
        <v>326</v>
      </c>
      <c r="X68" s="227">
        <f t="shared" si="6"/>
        <v>0</v>
      </c>
      <c r="AB68" s="228" t="str">
        <f t="shared" si="7"/>
        <v>GoldZhongyuan Gold Smelter of Zhongjin Gold Corporation</v>
      </c>
    </row>
    <row r="69" spans="1:28" s="227" customFormat="1" ht="89.25">
      <c r="A69" s="181" t="s">
        <v>132</v>
      </c>
      <c r="B69" s="182" t="s">
        <v>1101</v>
      </c>
      <c r="C69" s="186" t="s">
        <v>142</v>
      </c>
      <c r="D69" s="230" t="s">
        <v>142</v>
      </c>
      <c r="E69" s="182" t="s">
        <v>1069</v>
      </c>
      <c r="F69" s="182" t="s">
        <v>132</v>
      </c>
      <c r="G69" s="182" t="s">
        <v>13177</v>
      </c>
      <c r="H69" s="183" t="s">
        <v>16045</v>
      </c>
      <c r="I69" s="184" t="s">
        <v>1732</v>
      </c>
      <c r="J69" s="184" t="s">
        <v>13531</v>
      </c>
      <c r="K69" s="224" t="s">
        <v>16046</v>
      </c>
      <c r="L69" s="224" t="s">
        <v>16047</v>
      </c>
      <c r="M69" s="224" t="s">
        <v>15826</v>
      </c>
      <c r="N69" s="224" t="s">
        <v>15827</v>
      </c>
      <c r="O69" s="224" t="s">
        <v>16048</v>
      </c>
      <c r="P69" s="185" t="s">
        <v>12407</v>
      </c>
      <c r="Q69" s="225" t="s">
        <v>15829</v>
      </c>
      <c r="R69" s="182" t="str">
        <f ca="1">IF(ISERROR($V69),"",OFFSET('Smelter Look-up'!$C$4,$V69-4,0)&amp;"")</f>
        <v>Ganzhou Jiangwu Ferrotungsten Co., Ltd.</v>
      </c>
      <c r="S69" s="181" t="str">
        <f t="shared" ref="S69" ca="1" si="8">IF(B69="","",IF(ISERROR(MATCH($E69,CL,0)),"Unknown",INDIRECT("'C'!$A$"&amp;MATCH($E69,CL,0)+1)))</f>
        <v>CN</v>
      </c>
      <c r="T69" s="181" t="str">
        <f ca="1">IF(B69="","",IF(ISERROR(MATCH($J69,SorP!$B$1:$B$6226,0)),"",INDIRECT("'SorP'!$A$"&amp;MATCH($S69&amp;$J69,SorP!C:C,0))))</f>
        <v>CN-JX</v>
      </c>
      <c r="U69" s="201"/>
      <c r="V69" s="226">
        <f>IF(C69="",NA(),IF(OR(C69="Smelter not listed",C69="Smelter not yet identified"),MATCH($B69&amp;$D69,'Smelter Look-up'!$J:$J,0),MATCH($B69&amp;$C69,'Smelter Look-up'!$J:$J,0)))</f>
        <v>575</v>
      </c>
      <c r="X69" s="227">
        <f t="shared" ref="X69" si="9">IF(AND(C69="Smelter not listed",OR(LEN(D69)=0,LEN(E69)=0)),1,0)</f>
        <v>0</v>
      </c>
      <c r="AB69" s="228" t="str">
        <f t="shared" ref="AB69" si="10">B69&amp;C69</f>
        <v>TungstenGanzhou Jiangwu Ferrotungsten Co., Ltd.</v>
      </c>
    </row>
    <row r="70" spans="1:28" s="227" customFormat="1" ht="63.75">
      <c r="A70" s="181" t="s">
        <v>133</v>
      </c>
      <c r="B70" s="182" t="s">
        <v>1101</v>
      </c>
      <c r="C70" s="186" t="s">
        <v>143</v>
      </c>
      <c r="D70" s="230" t="s">
        <v>143</v>
      </c>
      <c r="E70" s="182" t="s">
        <v>1069</v>
      </c>
      <c r="F70" s="182" t="s">
        <v>133</v>
      </c>
      <c r="G70" s="182" t="s">
        <v>13177</v>
      </c>
      <c r="H70" s="183"/>
      <c r="I70" s="184" t="s">
        <v>1732</v>
      </c>
      <c r="J70" s="184" t="s">
        <v>13531</v>
      </c>
      <c r="K70" s="224" t="s">
        <v>16049</v>
      </c>
      <c r="L70" s="224" t="s">
        <v>16050</v>
      </c>
      <c r="M70" s="224" t="s">
        <v>16006</v>
      </c>
      <c r="N70" s="224" t="s">
        <v>15827</v>
      </c>
      <c r="O70" s="224" t="s">
        <v>16051</v>
      </c>
      <c r="P70" s="185" t="s">
        <v>12407</v>
      </c>
      <c r="Q70" s="225" t="s">
        <v>15829</v>
      </c>
      <c r="R70" s="182" t="str">
        <f ca="1">IF(ISERROR($V70),"",OFFSET('Smelter Look-up'!$C$4,$V70-4,0)&amp;"")</f>
        <v>Jiangxi Yaosheng Tungsten Co., Ltd.</v>
      </c>
      <c r="S70" s="181" t="str">
        <f t="shared" ref="S70:S101" ca="1" si="11">IF(B70="","",IF(ISERROR(MATCH($E70,CL,0)),"Unknown",INDIRECT("'C'!$A$"&amp;MATCH($E70,CL,0)+1)))</f>
        <v>CN</v>
      </c>
      <c r="T70" s="181" t="str">
        <f ca="1">IF(B70="","",IF(ISERROR(MATCH($J70,SorP!$B$1:$B$6226,0)),"",INDIRECT("'SorP'!$A$"&amp;MATCH($S70&amp;$J70,SorP!C:C,0))))</f>
        <v>CN-JX</v>
      </c>
      <c r="U70" s="201"/>
      <c r="V70" s="226">
        <f>IF(C70="",NA(),IF(OR(C70="Smelter not listed",C70="Smelter not yet identified"),MATCH($B70&amp;$D70,'Smelter Look-up'!$J:$J,0),MATCH($B70&amp;$C70,'Smelter Look-up'!$J:$J,0)))</f>
        <v>597</v>
      </c>
      <c r="X70" s="227">
        <f t="shared" ref="X70:X101" si="12">IF(AND(C70="Smelter not listed",OR(LEN(D70)=0,LEN(E70)=0)),1,0)</f>
        <v>0</v>
      </c>
      <c r="AB70" s="228" t="str">
        <f t="shared" ref="AB70:AB101" si="13">B70&amp;C70</f>
        <v>TungstenJiangxi Yaosheng Tungsten Co., Ltd.</v>
      </c>
    </row>
    <row r="71" spans="1:28" s="227" customFormat="1" ht="76.5">
      <c r="A71" s="181" t="s">
        <v>134</v>
      </c>
      <c r="B71" s="182" t="s">
        <v>1101</v>
      </c>
      <c r="C71" s="186" t="s">
        <v>144</v>
      </c>
      <c r="D71" s="230" t="s">
        <v>144</v>
      </c>
      <c r="E71" s="182" t="s">
        <v>1069</v>
      </c>
      <c r="F71" s="182" t="s">
        <v>134</v>
      </c>
      <c r="G71" s="182" t="s">
        <v>13177</v>
      </c>
      <c r="H71" s="183" t="s">
        <v>16052</v>
      </c>
      <c r="I71" s="184" t="s">
        <v>1732</v>
      </c>
      <c r="J71" s="184" t="s">
        <v>13531</v>
      </c>
      <c r="K71" s="224" t="s">
        <v>16053</v>
      </c>
      <c r="L71" s="224" t="s">
        <v>16054</v>
      </c>
      <c r="M71" s="224" t="s">
        <v>16006</v>
      </c>
      <c r="N71" s="224" t="s">
        <v>15827</v>
      </c>
      <c r="O71" s="224" t="s">
        <v>16055</v>
      </c>
      <c r="P71" s="185" t="s">
        <v>12407</v>
      </c>
      <c r="Q71" s="225" t="s">
        <v>15829</v>
      </c>
      <c r="R71" s="182" t="str">
        <f ca="1">IF(ISERROR($V71),"",OFFSET('Smelter Look-up'!$C$4,$V71-4,0)&amp;"")</f>
        <v>Jiangxi Xinsheng Tungsten Industry Co., Ltd.</v>
      </c>
      <c r="S71" s="181" t="str">
        <f t="shared" ca="1" si="11"/>
        <v>CN</v>
      </c>
      <c r="T71" s="181" t="str">
        <f ca="1">IF(B71="","",IF(ISERROR(MATCH($J71,SorP!$B$1:$B$6226,0)),"",INDIRECT("'SorP'!$A$"&amp;MATCH($S71&amp;$J71,SorP!C:C,0))))</f>
        <v>CN-JX</v>
      </c>
      <c r="U71" s="201"/>
      <c r="V71" s="226">
        <f>IF(C71="",NA(),IF(OR(C71="Smelter not listed",C71="Smelter not yet identified"),MATCH($B71&amp;$D71,'Smelter Look-up'!$J:$J,0),MATCH($B71&amp;$C71,'Smelter Look-up'!$J:$J,0)))</f>
        <v>596</v>
      </c>
      <c r="X71" s="227">
        <f t="shared" si="12"/>
        <v>0</v>
      </c>
      <c r="AB71" s="228" t="str">
        <f t="shared" si="13"/>
        <v>TungstenJiangxi Xinsheng Tungsten Industry Co., Ltd.</v>
      </c>
    </row>
    <row r="72" spans="1:28" s="227" customFormat="1" ht="51">
      <c r="A72" s="181" t="s">
        <v>135</v>
      </c>
      <c r="B72" s="182" t="s">
        <v>1101</v>
      </c>
      <c r="C72" s="186" t="s">
        <v>145</v>
      </c>
      <c r="D72" s="230" t="s">
        <v>145</v>
      </c>
      <c r="E72" s="182" t="s">
        <v>1069</v>
      </c>
      <c r="F72" s="182" t="s">
        <v>135</v>
      </c>
      <c r="G72" s="182" t="s">
        <v>13177</v>
      </c>
      <c r="H72" s="183" t="s">
        <v>16056</v>
      </c>
      <c r="I72" s="184" t="s">
        <v>1790</v>
      </c>
      <c r="J72" s="184" t="s">
        <v>13531</v>
      </c>
      <c r="K72" s="224" t="s">
        <v>16057</v>
      </c>
      <c r="L72" s="224" t="s">
        <v>16058</v>
      </c>
      <c r="M72" s="224" t="s">
        <v>16006</v>
      </c>
      <c r="N72" s="224"/>
      <c r="O72" s="224" t="s">
        <v>16059</v>
      </c>
      <c r="P72" s="185" t="s">
        <v>12407</v>
      </c>
      <c r="Q72" s="225" t="s">
        <v>15829</v>
      </c>
      <c r="R72" s="182" t="str">
        <f ca="1">IF(ISERROR($V72),"",OFFSET('Smelter Look-up'!$C$4,$V72-4,0)&amp;"")</f>
        <v>Jiangxi Tonggu Non-ferrous Metallurgical &amp; Chemical Co., Ltd.</v>
      </c>
      <c r="S72" s="181" t="str">
        <f t="shared" ca="1" si="11"/>
        <v>CN</v>
      </c>
      <c r="T72" s="181" t="str">
        <f ca="1">IF(B72="","",IF(ISERROR(MATCH($J72,SorP!$B$1:$B$6226,0)),"",INDIRECT("'SorP'!$A$"&amp;MATCH($S72&amp;$J72,SorP!C:C,0))))</f>
        <v>CN-JX</v>
      </c>
      <c r="U72" s="201"/>
      <c r="V72" s="226">
        <f>IF(C72="",NA(),IF(OR(C72="Smelter not listed",C72="Smelter not yet identified"),MATCH($B72&amp;$D72,'Smelter Look-up'!$J:$J,0),MATCH($B72&amp;$C72,'Smelter Look-up'!$J:$J,0)))</f>
        <v>595</v>
      </c>
      <c r="X72" s="227">
        <f t="shared" si="12"/>
        <v>0</v>
      </c>
      <c r="AB72" s="228" t="str">
        <f t="shared" si="13"/>
        <v>TungstenJiangxi Tonggu Non-ferrous Metallurgical &amp; Chemical Co., Ltd.</v>
      </c>
    </row>
    <row r="73" spans="1:28" s="227" customFormat="1" ht="102">
      <c r="A73" s="181" t="s">
        <v>136</v>
      </c>
      <c r="B73" s="182" t="s">
        <v>1101</v>
      </c>
      <c r="C73" s="186" t="s">
        <v>146</v>
      </c>
      <c r="D73" s="230" t="s">
        <v>146</v>
      </c>
      <c r="E73" s="182" t="s">
        <v>1069</v>
      </c>
      <c r="F73" s="182" t="s">
        <v>136</v>
      </c>
      <c r="G73" s="182" t="s">
        <v>13177</v>
      </c>
      <c r="H73" s="183" t="s">
        <v>16060</v>
      </c>
      <c r="I73" s="184" t="s">
        <v>15662</v>
      </c>
      <c r="J73" s="184" t="s">
        <v>13540</v>
      </c>
      <c r="K73" s="224" t="s">
        <v>16032</v>
      </c>
      <c r="L73" s="224" t="s">
        <v>16033</v>
      </c>
      <c r="M73" s="224" t="s">
        <v>15826</v>
      </c>
      <c r="N73" s="224" t="s">
        <v>15827</v>
      </c>
      <c r="O73" s="224" t="s">
        <v>16061</v>
      </c>
      <c r="P73" s="185" t="s">
        <v>12407</v>
      </c>
      <c r="Q73" s="225" t="s">
        <v>15829</v>
      </c>
      <c r="R73" s="182" t="str">
        <f ca="1">IF(ISERROR($V73),"",OFFSET('Smelter Look-up'!$C$4,$V73-4,0)&amp;"")</f>
        <v>Malipo Haiyu Tungsten Co., Ltd.</v>
      </c>
      <c r="S73" s="181" t="str">
        <f t="shared" ca="1" si="11"/>
        <v>CN</v>
      </c>
      <c r="T73" s="181" t="str">
        <f ca="1">IF(B73="","",IF(ISERROR(MATCH($J73,SorP!$B$1:$B$6226,0)),"",INDIRECT("'SorP'!$A$"&amp;MATCH($S73&amp;$J73,SorP!C:C,0))))</f>
        <v>CN-YN</v>
      </c>
      <c r="U73" s="201"/>
      <c r="V73" s="226">
        <f>IF(C73="",NA(),IF(OR(C73="Smelter not listed",C73="Smelter not yet identified"),MATCH($B73&amp;$D73,'Smelter Look-up'!$J:$J,0),MATCH($B73&amp;$C73,'Smelter Look-up'!$J:$J,0)))</f>
        <v>610</v>
      </c>
      <c r="X73" s="227">
        <f t="shared" si="12"/>
        <v>0</v>
      </c>
      <c r="AB73" s="228" t="str">
        <f t="shared" si="13"/>
        <v>TungstenMalipo Haiyu Tungsten Co., Ltd.</v>
      </c>
    </row>
    <row r="74" spans="1:28" s="227" customFormat="1" ht="102">
      <c r="A74" s="181" t="s">
        <v>137</v>
      </c>
      <c r="B74" s="182" t="s">
        <v>1101</v>
      </c>
      <c r="C74" s="186" t="s">
        <v>147</v>
      </c>
      <c r="D74" s="230" t="s">
        <v>147</v>
      </c>
      <c r="E74" s="182" t="s">
        <v>1069</v>
      </c>
      <c r="F74" s="182" t="s">
        <v>137</v>
      </c>
      <c r="G74" s="182" t="s">
        <v>13177</v>
      </c>
      <c r="H74" s="183" t="s">
        <v>16062</v>
      </c>
      <c r="I74" s="184" t="s">
        <v>1788</v>
      </c>
      <c r="J74" s="184" t="s">
        <v>13530</v>
      </c>
      <c r="K74" s="224" t="s">
        <v>16032</v>
      </c>
      <c r="L74" s="224" t="s">
        <v>16033</v>
      </c>
      <c r="M74" s="224" t="s">
        <v>15826</v>
      </c>
      <c r="N74" s="224" t="s">
        <v>15827</v>
      </c>
      <c r="O74" s="224" t="s">
        <v>16063</v>
      </c>
      <c r="P74" s="185" t="s">
        <v>12407</v>
      </c>
      <c r="Q74" s="225" t="s">
        <v>15829</v>
      </c>
      <c r="R74" s="182" t="str">
        <f ca="1">IF(ISERROR($V74),"",OFFSET('Smelter Look-up'!$C$4,$V74-4,0)&amp;"")</f>
        <v>Xiamen Tungsten (H.C.) Co., Ltd.</v>
      </c>
      <c r="S74" s="181" t="str">
        <f t="shared" ca="1" si="11"/>
        <v>CN</v>
      </c>
      <c r="T74" s="181" t="str">
        <f ca="1">IF(B74="","",IF(ISERROR(MATCH($J74,SorP!$B$1:$B$6226,0)),"",INDIRECT("'SorP'!$A$"&amp;MATCH($S74&amp;$J74,SorP!C:C,0))))</f>
        <v>CN-FJ</v>
      </c>
      <c r="U74" s="201"/>
      <c r="V74" s="226">
        <f>IF(C74="",NA(),IF(OR(C74="Smelter not listed",C74="Smelter not yet identified"),MATCH($B74&amp;$D74,'Smelter Look-up'!$J:$J,0),MATCH($B74&amp;$C74,'Smelter Look-up'!$J:$J,0)))</f>
        <v>635</v>
      </c>
      <c r="X74" s="227">
        <f t="shared" si="12"/>
        <v>0</v>
      </c>
      <c r="AB74" s="228" t="str">
        <f t="shared" si="13"/>
        <v>TungstenXiamen Tungsten (H.C.) Co., Ltd.</v>
      </c>
    </row>
    <row r="75" spans="1:28" s="227" customFormat="1" ht="114.75">
      <c r="A75" s="181" t="s">
        <v>130</v>
      </c>
      <c r="B75" s="182" t="s">
        <v>1101</v>
      </c>
      <c r="C75" s="186" t="s">
        <v>148</v>
      </c>
      <c r="D75" s="230" t="s">
        <v>148</v>
      </c>
      <c r="E75" s="182" t="s">
        <v>1069</v>
      </c>
      <c r="F75" s="182" t="s">
        <v>130</v>
      </c>
      <c r="G75" s="182" t="s">
        <v>13177</v>
      </c>
      <c r="H75" s="183" t="s">
        <v>16064</v>
      </c>
      <c r="I75" s="184" t="s">
        <v>1792</v>
      </c>
      <c r="J75" s="184" t="s">
        <v>13531</v>
      </c>
      <c r="K75" s="224" t="s">
        <v>16065</v>
      </c>
      <c r="L75" s="224" t="s">
        <v>16066</v>
      </c>
      <c r="M75" s="224" t="s">
        <v>15826</v>
      </c>
      <c r="N75" s="224" t="s">
        <v>15827</v>
      </c>
      <c r="O75" s="224" t="s">
        <v>16067</v>
      </c>
      <c r="P75" s="185" t="s">
        <v>476</v>
      </c>
      <c r="Q75" s="225" t="s">
        <v>15829</v>
      </c>
      <c r="R75" s="182" t="str">
        <f ca="1">IF(ISERROR($V75),"",OFFSET('Smelter Look-up'!$C$4,$V75-4,0)&amp;"")</f>
        <v>Jiangxi Gan Bei Tungsten Co., Ltd.</v>
      </c>
      <c r="S75" s="181" t="str">
        <f t="shared" ca="1" si="11"/>
        <v>CN</v>
      </c>
      <c r="T75" s="181" t="str">
        <f ca="1">IF(B75="","",IF(ISERROR(MATCH($J75,SorP!$B$1:$B$6226,0)),"",INDIRECT("'SorP'!$A$"&amp;MATCH($S75&amp;$J75,SorP!C:C,0))))</f>
        <v>CN-JX</v>
      </c>
      <c r="U75" s="201"/>
      <c r="V75" s="226">
        <f>IF(C75="",NA(),IF(OR(C75="Smelter not listed",C75="Smelter not yet identified"),MATCH($B75&amp;$D75,'Smelter Look-up'!$J:$J,0),MATCH($B75&amp;$C75,'Smelter Look-up'!$J:$J,0)))</f>
        <v>593</v>
      </c>
      <c r="X75" s="227">
        <f t="shared" si="12"/>
        <v>0</v>
      </c>
      <c r="AB75" s="228" t="str">
        <f t="shared" si="13"/>
        <v>TungstenJiangxi Gan Bei Tungsten Co., Ltd.</v>
      </c>
    </row>
    <row r="76" spans="1:28" s="227" customFormat="1" ht="38.25">
      <c r="A76" s="181" t="s">
        <v>383</v>
      </c>
      <c r="B76" s="182" t="s">
        <v>1100</v>
      </c>
      <c r="C76" s="186" t="s">
        <v>1</v>
      </c>
      <c r="D76" s="230" t="s">
        <v>1</v>
      </c>
      <c r="E76" s="182" t="s">
        <v>1069</v>
      </c>
      <c r="F76" s="182" t="s">
        <v>383</v>
      </c>
      <c r="G76" s="182" t="s">
        <v>13177</v>
      </c>
      <c r="H76" s="183" t="s">
        <v>16068</v>
      </c>
      <c r="I76" s="184" t="s">
        <v>1702</v>
      </c>
      <c r="J76" s="184" t="s">
        <v>13535</v>
      </c>
      <c r="K76" s="224" t="s">
        <v>16069</v>
      </c>
      <c r="L76" s="224" t="s">
        <v>16070</v>
      </c>
      <c r="M76" s="224" t="s">
        <v>15833</v>
      </c>
      <c r="N76" s="224" t="s">
        <v>15827</v>
      </c>
      <c r="O76" s="224" t="s">
        <v>16071</v>
      </c>
      <c r="P76" s="185" t="s">
        <v>12407</v>
      </c>
      <c r="Q76" s="225" t="s">
        <v>15829</v>
      </c>
      <c r="R76" s="182" t="str">
        <f ca="1">IF(ISERROR($V76),"",OFFSET('Smelter Look-up'!$C$4,$V76-4,0)&amp;"")</f>
        <v>Hengyang King Xing Lifeng New Materials Co., Ltd.</v>
      </c>
      <c r="S76" s="181" t="str">
        <f t="shared" ca="1" si="11"/>
        <v>CN</v>
      </c>
      <c r="T76" s="181" t="str">
        <f ca="1">IF(B76="","",IF(ISERROR(MATCH($J76,SorP!$B$1:$B$6226,0)),"",INDIRECT("'SorP'!$A$"&amp;MATCH($S76&amp;$J76,SorP!C:C,0))))</f>
        <v>CN-HN</v>
      </c>
      <c r="U76" s="201"/>
      <c r="V76" s="226">
        <f>IF(C76="",NA(),IF(OR(C76="Smelter not listed",C76="Smelter not yet identified"),MATCH($B76&amp;$D76,'Smelter Look-up'!$J:$J,0),MATCH($B76&amp;$C76,'Smelter Look-up'!$J:$J,0)))</f>
        <v>348</v>
      </c>
      <c r="X76" s="227">
        <f t="shared" si="12"/>
        <v>0</v>
      </c>
      <c r="AB76" s="228" t="str">
        <f t="shared" si="13"/>
        <v>TantalumHengyang King Xing Lifeng New Materials Co., Ltd.</v>
      </c>
    </row>
    <row r="77" spans="1:28" s="227" customFormat="1" ht="76.5">
      <c r="A77" s="181" t="s">
        <v>380</v>
      </c>
      <c r="B77" s="182" t="s">
        <v>1101</v>
      </c>
      <c r="C77" s="186" t="s">
        <v>379</v>
      </c>
      <c r="D77" s="230" t="s">
        <v>379</v>
      </c>
      <c r="E77" s="182" t="s">
        <v>1069</v>
      </c>
      <c r="F77" s="182" t="s">
        <v>380</v>
      </c>
      <c r="G77" s="182" t="s">
        <v>13177</v>
      </c>
      <c r="H77" s="183"/>
      <c r="I77" s="184" t="s">
        <v>1732</v>
      </c>
      <c r="J77" s="184" t="s">
        <v>13531</v>
      </c>
      <c r="K77" s="224" t="s">
        <v>16072</v>
      </c>
      <c r="L77" s="224" t="s">
        <v>16073</v>
      </c>
      <c r="M77" s="224" t="s">
        <v>15826</v>
      </c>
      <c r="N77" s="224" t="s">
        <v>15827</v>
      </c>
      <c r="O77" s="224" t="s">
        <v>16074</v>
      </c>
      <c r="P77" s="185" t="s">
        <v>12407</v>
      </c>
      <c r="Q77" s="225" t="s">
        <v>15829</v>
      </c>
      <c r="R77" s="182" t="str">
        <f ca="1">IF(ISERROR($V77),"",OFFSET('Smelter Look-up'!$C$4,$V77-4,0)&amp;"")</f>
        <v>Ganzhou Seadragon W &amp; Mo Co., Ltd.</v>
      </c>
      <c r="S77" s="181" t="str">
        <f t="shared" ca="1" si="11"/>
        <v>CN</v>
      </c>
      <c r="T77" s="181" t="str">
        <f ca="1">IF(B77="","",IF(ISERROR(MATCH($J77,SorP!$B$1:$B$6226,0)),"",INDIRECT("'SorP'!$A$"&amp;MATCH($S77&amp;$J77,SorP!C:C,0))))</f>
        <v>CN-JX</v>
      </c>
      <c r="U77" s="201"/>
      <c r="V77" s="226">
        <f>IF(C77="",NA(),IF(OR(C77="Smelter not listed",C77="Smelter not yet identified"),MATCH($B77&amp;$D77,'Smelter Look-up'!$J:$J,0),MATCH($B77&amp;$C77,'Smelter Look-up'!$J:$J,0)))</f>
        <v>576</v>
      </c>
      <c r="X77" s="227">
        <f t="shared" si="12"/>
        <v>0</v>
      </c>
      <c r="AB77" s="228" t="str">
        <f t="shared" si="13"/>
        <v>TungstenGanzhou Seadragon W &amp; Mo Co., Ltd.</v>
      </c>
    </row>
    <row r="78" spans="1:28" s="227" customFormat="1" ht="102">
      <c r="A78" s="181" t="s">
        <v>1362</v>
      </c>
      <c r="B78" s="182" t="s">
        <v>1100</v>
      </c>
      <c r="C78" s="186" t="s">
        <v>2122</v>
      </c>
      <c r="D78" s="230" t="s">
        <v>2122</v>
      </c>
      <c r="E78" s="182" t="s">
        <v>1069</v>
      </c>
      <c r="F78" s="182" t="s">
        <v>1362</v>
      </c>
      <c r="G78" s="182" t="s">
        <v>13177</v>
      </c>
      <c r="H78" s="183" t="s">
        <v>16075</v>
      </c>
      <c r="I78" s="184" t="s">
        <v>1694</v>
      </c>
      <c r="J78" s="184" t="s">
        <v>13535</v>
      </c>
      <c r="K78" s="224" t="s">
        <v>16076</v>
      </c>
      <c r="L78" s="224" t="s">
        <v>16077</v>
      </c>
      <c r="M78" s="224" t="s">
        <v>15886</v>
      </c>
      <c r="N78" s="224" t="s">
        <v>15827</v>
      </c>
      <c r="O78" s="224" t="s">
        <v>16078</v>
      </c>
      <c r="P78" s="185" t="s">
        <v>12407</v>
      </c>
      <c r="Q78" s="225" t="s">
        <v>15829</v>
      </c>
      <c r="R78" s="182" t="str">
        <f ca="1">IF(ISERROR($V78),"",OFFSET('Smelter Look-up'!$C$4,$V78-4,0)&amp;"")</f>
        <v>FIR Metals &amp; Resource Ltd.</v>
      </c>
      <c r="S78" s="181" t="str">
        <f t="shared" ca="1" si="11"/>
        <v>CN</v>
      </c>
      <c r="T78" s="181" t="str">
        <f ca="1">IF(B78="","",IF(ISERROR(MATCH($J78,SorP!$B$1:$B$6226,0)),"",INDIRECT("'SorP'!$A$"&amp;MATCH($S78&amp;$J78,SorP!C:C,0))))</f>
        <v>CN-HN</v>
      </c>
      <c r="U78" s="201"/>
      <c r="V78" s="226">
        <f>IF(C78="",NA(),IF(OR(C78="Smelter not listed",C78="Smelter not yet identified"),MATCH($B78&amp;$D78,'Smelter Look-up'!$J:$J,0),MATCH($B78&amp;$C78,'Smelter Look-up'!$J:$J,0)))</f>
        <v>338</v>
      </c>
      <c r="X78" s="227">
        <f t="shared" si="12"/>
        <v>0</v>
      </c>
      <c r="AB78" s="228" t="str">
        <f t="shared" si="13"/>
        <v>TantalumFIR Metals &amp; Resource Ltd.</v>
      </c>
    </row>
    <row r="79" spans="1:28" s="227" customFormat="1" ht="114.75">
      <c r="A79" s="181" t="s">
        <v>1364</v>
      </c>
      <c r="B79" s="182" t="s">
        <v>1100</v>
      </c>
      <c r="C79" s="186" t="s">
        <v>2123</v>
      </c>
      <c r="D79" s="230" t="s">
        <v>2123</v>
      </c>
      <c r="E79" s="182" t="s">
        <v>1069</v>
      </c>
      <c r="F79" s="182" t="s">
        <v>1364</v>
      </c>
      <c r="G79" s="182" t="s">
        <v>13177</v>
      </c>
      <c r="H79" s="183" t="s">
        <v>16079</v>
      </c>
      <c r="I79" s="184" t="s">
        <v>1682</v>
      </c>
      <c r="J79" s="184" t="s">
        <v>13531</v>
      </c>
      <c r="K79" s="224" t="s">
        <v>16080</v>
      </c>
      <c r="L79" s="224" t="s">
        <v>16081</v>
      </c>
      <c r="M79" s="224" t="s">
        <v>15833</v>
      </c>
      <c r="N79" s="224" t="s">
        <v>15827</v>
      </c>
      <c r="O79" s="224" t="s">
        <v>16082</v>
      </c>
      <c r="P79" s="185" t="s">
        <v>12407</v>
      </c>
      <c r="Q79" s="225" t="s">
        <v>15829</v>
      </c>
      <c r="R79" s="182" t="str">
        <f ca="1">IF(ISERROR($V79),"",OFFSET('Smelter Look-up'!$C$4,$V79-4,0)&amp;"")</f>
        <v>Jiujiang Zhongao Tantalum &amp; Niobium Co., Ltd.</v>
      </c>
      <c r="S79" s="181" t="str">
        <f t="shared" ca="1" si="11"/>
        <v>CN</v>
      </c>
      <c r="T79" s="181" t="str">
        <f ca="1">IF(B79="","",IF(ISERROR(MATCH($J79,SorP!$B$1:$B$6226,0)),"",INDIRECT("'SorP'!$A$"&amp;MATCH($S79&amp;$J79,SorP!C:C,0))))</f>
        <v>CN-JX</v>
      </c>
      <c r="U79" s="201"/>
      <c r="V79" s="226">
        <f>IF(C79="",NA(),IF(OR(C79="Smelter not listed",C79="Smelter not yet identified"),MATCH($B79&amp;$D79,'Smelter Look-up'!$J:$J,0),MATCH($B79&amp;$C79,'Smelter Look-up'!$J:$J,0)))</f>
        <v>356</v>
      </c>
      <c r="X79" s="227">
        <f t="shared" si="12"/>
        <v>0</v>
      </c>
      <c r="AB79" s="228" t="str">
        <f t="shared" si="13"/>
        <v>TantalumJiujiang Zhongao Tantalum &amp; Niobium Co., Ltd.</v>
      </c>
    </row>
    <row r="80" spans="1:28" s="227" customFormat="1" ht="102">
      <c r="A80" s="181" t="s">
        <v>1363</v>
      </c>
      <c r="B80" s="182" t="s">
        <v>1100</v>
      </c>
      <c r="C80" s="186" t="s">
        <v>2125</v>
      </c>
      <c r="D80" s="230" t="s">
        <v>2125</v>
      </c>
      <c r="E80" s="182" t="s">
        <v>1069</v>
      </c>
      <c r="F80" s="182" t="s">
        <v>1363</v>
      </c>
      <c r="G80" s="182" t="s">
        <v>13177</v>
      </c>
      <c r="H80" s="183" t="s">
        <v>16083</v>
      </c>
      <c r="I80" s="184" t="s">
        <v>1704</v>
      </c>
      <c r="J80" s="184" t="s">
        <v>13531</v>
      </c>
      <c r="K80" s="224" t="s">
        <v>16084</v>
      </c>
      <c r="L80" s="224" t="s">
        <v>16085</v>
      </c>
      <c r="M80" s="224" t="s">
        <v>15833</v>
      </c>
      <c r="N80" s="224" t="s">
        <v>15827</v>
      </c>
      <c r="O80" s="224" t="s">
        <v>16086</v>
      </c>
      <c r="P80" s="185" t="s">
        <v>12407</v>
      </c>
      <c r="Q80" s="225" t="s">
        <v>15829</v>
      </c>
      <c r="R80" s="182" t="str">
        <f ca="1">IF(ISERROR($V80),"",OFFSET('Smelter Look-up'!$C$4,$V80-4,0)&amp;"")</f>
        <v>Jiangxi Dinghai Tantalum &amp; Niobium Co., Ltd.</v>
      </c>
      <c r="S80" s="181" t="str">
        <f t="shared" ca="1" si="11"/>
        <v>CN</v>
      </c>
      <c r="T80" s="181" t="str">
        <f ca="1">IF(B80="","",IF(ISERROR(MATCH($J80,SorP!$B$1:$B$6226,0)),"",INDIRECT("'SorP'!$A$"&amp;MATCH($S80&amp;$J80,SorP!C:C,0))))</f>
        <v>CN-JX</v>
      </c>
      <c r="U80" s="201"/>
      <c r="V80" s="226">
        <f>IF(C80="",NA(),IF(OR(C80="Smelter not listed",C80="Smelter not yet identified"),MATCH($B80&amp;$D80,'Smelter Look-up'!$J:$J,0),MATCH($B80&amp;$C80,'Smelter Look-up'!$J:$J,0)))</f>
        <v>349</v>
      </c>
      <c r="X80" s="227">
        <f t="shared" si="12"/>
        <v>0</v>
      </c>
      <c r="AB80" s="228" t="str">
        <f t="shared" si="13"/>
        <v>TantalumJiangxi Dinghai Tantalum &amp; Niobium Co., Ltd.</v>
      </c>
    </row>
    <row r="81" spans="1:28" s="227" customFormat="1" ht="89.25">
      <c r="A81" s="181" t="s">
        <v>1393</v>
      </c>
      <c r="B81" s="182" t="s">
        <v>1101</v>
      </c>
      <c r="C81" s="186" t="s">
        <v>1392</v>
      </c>
      <c r="D81" s="230" t="s">
        <v>1392</v>
      </c>
      <c r="E81" s="182" t="s">
        <v>1069</v>
      </c>
      <c r="F81" s="182" t="s">
        <v>1393</v>
      </c>
      <c r="G81" s="182" t="s">
        <v>13177</v>
      </c>
      <c r="H81" s="183" t="s">
        <v>16087</v>
      </c>
      <c r="I81" s="184" t="s">
        <v>1732</v>
      </c>
      <c r="J81" s="184" t="s">
        <v>13531</v>
      </c>
      <c r="K81" s="224" t="s">
        <v>16057</v>
      </c>
      <c r="L81" s="224" t="s">
        <v>16088</v>
      </c>
      <c r="M81" s="224" t="s">
        <v>16006</v>
      </c>
      <c r="N81" s="224" t="s">
        <v>15827</v>
      </c>
      <c r="O81" s="224" t="s">
        <v>16089</v>
      </c>
      <c r="P81" s="185" t="s">
        <v>12407</v>
      </c>
      <c r="Q81" s="225" t="s">
        <v>15829</v>
      </c>
      <c r="R81" s="182" t="str">
        <f ca="1">IF(ISERROR($V81),"",OFFSET('Smelter Look-up'!$C$4,$V81-4,0)&amp;"")</f>
        <v>Jiangwu H.C. Starck Tungsten Products Co., Ltd.</v>
      </c>
      <c r="S81" s="181" t="str">
        <f t="shared" ca="1" si="11"/>
        <v>CN</v>
      </c>
      <c r="T81" s="181" t="str">
        <f ca="1">IF(B81="","",IF(ISERROR(MATCH($J81,SorP!$B$1:$B$6226,0)),"",INDIRECT("'SorP'!$A$"&amp;MATCH($S81&amp;$J81,SorP!C:C,0))))</f>
        <v>CN-JX</v>
      </c>
      <c r="U81" s="201"/>
      <c r="V81" s="226">
        <f>IF(C81="",NA(),IF(OR(C81="Smelter not listed",C81="Smelter not yet identified"),MATCH($B81&amp;$D81,'Smelter Look-up'!$J:$J,0),MATCH($B81&amp;$C81,'Smelter Look-up'!$J:$J,0)))</f>
        <v>592</v>
      </c>
      <c r="X81" s="227">
        <f t="shared" si="12"/>
        <v>0</v>
      </c>
      <c r="AB81" s="228" t="str">
        <f t="shared" si="13"/>
        <v>TungstenJiangwu H.C. Starck Tungsten Products Co., Ltd.</v>
      </c>
    </row>
    <row r="82" spans="1:28" s="227" customFormat="1" ht="38.25">
      <c r="A82" s="181" t="s">
        <v>13724</v>
      </c>
      <c r="B82" s="182" t="s">
        <v>1101</v>
      </c>
      <c r="C82" s="186" t="s">
        <v>14970</v>
      </c>
      <c r="D82" s="230" t="s">
        <v>14970</v>
      </c>
      <c r="E82" s="182" t="s">
        <v>1069</v>
      </c>
      <c r="F82" s="182" t="s">
        <v>13724</v>
      </c>
      <c r="G82" s="182" t="s">
        <v>13177</v>
      </c>
      <c r="H82" s="183" t="s">
        <v>16090</v>
      </c>
      <c r="I82" s="184" t="s">
        <v>1581</v>
      </c>
      <c r="J82" s="184" t="s">
        <v>13533</v>
      </c>
      <c r="K82" s="224" t="s">
        <v>16091</v>
      </c>
      <c r="L82" s="224" t="s">
        <v>16092</v>
      </c>
      <c r="M82" s="224" t="s">
        <v>15875</v>
      </c>
      <c r="N82" s="224" t="s">
        <v>15827</v>
      </c>
      <c r="O82" s="224" t="s">
        <v>16093</v>
      </c>
      <c r="P82" s="185" t="s">
        <v>12407</v>
      </c>
      <c r="Q82" s="225" t="s">
        <v>15829</v>
      </c>
      <c r="R82" s="182" t="str">
        <f ca="1">IF(ISERROR($V82),"",OFFSET('Smelter Look-up'!$C$4,$V82-4,0)&amp;"")</f>
        <v>China Molybdenum Tungsten Co., Ltd.</v>
      </c>
      <c r="S82" s="181" t="str">
        <f t="shared" ca="1" si="11"/>
        <v>CN</v>
      </c>
      <c r="T82" s="181" t="str">
        <f ca="1">IF(B82="","",IF(ISERROR(MATCH($J82,SorP!$B$1:$B$6226,0)),"",INDIRECT("'SorP'!$A$"&amp;MATCH($S82&amp;$J82,SorP!C:C,0))))</f>
        <v>CN-HA</v>
      </c>
      <c r="U82" s="201"/>
      <c r="V82" s="226">
        <f>IF(C82="",NA(),IF(OR(C82="Smelter not listed",C82="Smelter not yet identified"),MATCH($B82&amp;$D82,'Smelter Look-up'!$J:$J,0),MATCH($B82&amp;$C82,'Smelter Look-up'!$J:$J,0)))</f>
        <v>567</v>
      </c>
      <c r="X82" s="227">
        <f t="shared" si="12"/>
        <v>0</v>
      </c>
      <c r="AB82" s="228" t="str">
        <f t="shared" si="13"/>
        <v>TungstenChina Molybdenum Tungsten Co., Ltd.</v>
      </c>
    </row>
    <row r="83" spans="1:28" s="227" customFormat="1" ht="102">
      <c r="A83" s="181" t="s">
        <v>2222</v>
      </c>
      <c r="B83" s="182" t="s">
        <v>1100</v>
      </c>
      <c r="C83" s="186" t="s">
        <v>2221</v>
      </c>
      <c r="D83" s="230" t="s">
        <v>2221</v>
      </c>
      <c r="E83" s="182" t="s">
        <v>1069</v>
      </c>
      <c r="F83" s="182" t="s">
        <v>2222</v>
      </c>
      <c r="G83" s="182" t="s">
        <v>13177</v>
      </c>
      <c r="H83" s="183" t="s">
        <v>16094</v>
      </c>
      <c r="I83" s="184" t="s">
        <v>1701</v>
      </c>
      <c r="J83" s="184" t="s">
        <v>13531</v>
      </c>
      <c r="K83" s="224" t="s">
        <v>16095</v>
      </c>
      <c r="L83" s="224" t="s">
        <v>16096</v>
      </c>
      <c r="M83" s="224" t="s">
        <v>15886</v>
      </c>
      <c r="N83" s="224" t="s">
        <v>15827</v>
      </c>
      <c r="O83" s="224" t="s">
        <v>16097</v>
      </c>
      <c r="P83" s="185" t="s">
        <v>12407</v>
      </c>
      <c r="Q83" s="225" t="s">
        <v>15829</v>
      </c>
      <c r="R83" s="182" t="str">
        <f ca="1">IF(ISERROR($V83),"",OFFSET('Smelter Look-up'!$C$4,$V83-4,0)&amp;"")</f>
        <v>Jiangxi Tuohong New Raw Material</v>
      </c>
      <c r="S83" s="181" t="str">
        <f t="shared" ca="1" si="11"/>
        <v>CN</v>
      </c>
      <c r="T83" s="181" t="str">
        <f ca="1">IF(B83="","",IF(ISERROR(MATCH($J83,SorP!$B$1:$B$6226,0)),"",INDIRECT("'SorP'!$A$"&amp;MATCH($S83&amp;$J83,SorP!C:C,0))))</f>
        <v>CN-JX</v>
      </c>
      <c r="U83" s="201"/>
      <c r="V83" s="226">
        <f>IF(C83="",NA(),IF(OR(C83="Smelter not listed",C83="Smelter not yet identified"),MATCH($B83&amp;$D83,'Smelter Look-up'!$J:$J,0),MATCH($B83&amp;$C83,'Smelter Look-up'!$J:$J,0)))</f>
        <v>352</v>
      </c>
      <c r="X83" s="227">
        <f t="shared" si="12"/>
        <v>0</v>
      </c>
      <c r="AB83" s="228" t="str">
        <f t="shared" si="13"/>
        <v>TantalumJiangxi Tuohong New Raw Material</v>
      </c>
    </row>
    <row r="84" spans="1:28" s="227" customFormat="1" ht="51">
      <c r="A84" s="181" t="s">
        <v>15629</v>
      </c>
      <c r="B84" s="182" t="s">
        <v>1099</v>
      </c>
      <c r="C84" s="186" t="s">
        <v>15628</v>
      </c>
      <c r="D84" s="230" t="s">
        <v>15628</v>
      </c>
      <c r="E84" s="182" t="s">
        <v>1069</v>
      </c>
      <c r="F84" s="182" t="s">
        <v>15629</v>
      </c>
      <c r="G84" s="182" t="s">
        <v>13177</v>
      </c>
      <c r="H84" s="183" t="s">
        <v>16098</v>
      </c>
      <c r="I84" s="184" t="s">
        <v>1732</v>
      </c>
      <c r="J84" s="184" t="s">
        <v>13531</v>
      </c>
      <c r="K84" s="224" t="s">
        <v>16099</v>
      </c>
      <c r="L84" s="224" t="s">
        <v>16100</v>
      </c>
      <c r="M84" s="224" t="s">
        <v>15826</v>
      </c>
      <c r="N84" s="224" t="s">
        <v>15827</v>
      </c>
      <c r="O84" s="224" t="s">
        <v>16101</v>
      </c>
      <c r="P84" s="185" t="s">
        <v>12407</v>
      </c>
      <c r="Q84" s="225" t="s">
        <v>15829</v>
      </c>
      <c r="R84" s="182" t="str">
        <f ca="1">IF(ISERROR($V84),"",OFFSET('Smelter Look-up'!$C$4,$V84-4,0)&amp;"")</f>
        <v>HuiChang Hill Tin Industry Co., Ltd.</v>
      </c>
      <c r="S84" s="181" t="str">
        <f t="shared" ca="1" si="11"/>
        <v>CN</v>
      </c>
      <c r="T84" s="181" t="str">
        <f ca="1">IF(B84="","",IF(ISERROR(MATCH($J84,SorP!$B$1:$B$6226,0)),"",INDIRECT("'SorP'!$A$"&amp;MATCH($S84&amp;$J84,SorP!C:C,0))))</f>
        <v>CN-JX</v>
      </c>
      <c r="U84" s="201"/>
      <c r="V84" s="226">
        <f>IF(C84="",NA(),IF(OR(C84="Smelter not listed",C84="Smelter not yet identified"),MATCH($B84&amp;$D84,'Smelter Look-up'!$J:$J,0),MATCH($B84&amp;$C84,'Smelter Look-up'!$J:$J,0)))</f>
        <v>453</v>
      </c>
      <c r="X84" s="227">
        <f t="shared" si="12"/>
        <v>0</v>
      </c>
      <c r="AB84" s="228" t="str">
        <f t="shared" si="13"/>
        <v>TinHuiChang Hill Tin Industry Co., Ltd.</v>
      </c>
    </row>
    <row r="85" spans="1:28" s="227" customFormat="1" ht="89.25">
      <c r="A85" s="181" t="s">
        <v>2481</v>
      </c>
      <c r="B85" s="182" t="s">
        <v>1099</v>
      </c>
      <c r="C85" s="186" t="s">
        <v>2480</v>
      </c>
      <c r="D85" s="230" t="s">
        <v>2480</v>
      </c>
      <c r="E85" s="182" t="s">
        <v>1069</v>
      </c>
      <c r="F85" s="182" t="s">
        <v>2481</v>
      </c>
      <c r="G85" s="182" t="s">
        <v>13177</v>
      </c>
      <c r="H85" s="183" t="s">
        <v>16102</v>
      </c>
      <c r="I85" s="184" t="s">
        <v>1781</v>
      </c>
      <c r="J85" s="184" t="s">
        <v>13536</v>
      </c>
      <c r="K85" s="224" t="s">
        <v>16103</v>
      </c>
      <c r="L85" s="224" t="s">
        <v>16104</v>
      </c>
      <c r="M85" s="224" t="s">
        <v>15826</v>
      </c>
      <c r="N85" s="224"/>
      <c r="O85" s="224" t="s">
        <v>16105</v>
      </c>
      <c r="P85" s="185" t="s">
        <v>476</v>
      </c>
      <c r="Q85" s="225" t="s">
        <v>15829</v>
      </c>
      <c r="R85" s="182" t="str">
        <f ca="1">IF(ISERROR($V85),"",OFFSET('Smelter Look-up'!$C$4,$V85-4,0)&amp;"")</f>
        <v>Guangdong Hanhe Non-Ferrous Metal Co., Ltd.</v>
      </c>
      <c r="S85" s="181" t="str">
        <f t="shared" ca="1" si="11"/>
        <v>CN</v>
      </c>
      <c r="T85" s="181" t="str">
        <f ca="1">IF(B85="","",IF(ISERROR(MATCH($J85,SorP!$B$1:$B$6226,0)),"",INDIRECT("'SorP'!$A$"&amp;MATCH($S85&amp;$J85,SorP!C:C,0))))</f>
        <v>CN-GD</v>
      </c>
      <c r="U85" s="201"/>
      <c r="V85" s="226">
        <f>IF(C85="",NA(),IF(OR(C85="Smelter not listed",C85="Smelter not yet identified"),MATCH($B85&amp;$D85,'Smelter Look-up'!$J:$J,0),MATCH($B85&amp;$C85,'Smelter Look-up'!$J:$J,0)))</f>
        <v>450</v>
      </c>
      <c r="X85" s="227">
        <f t="shared" si="12"/>
        <v>0</v>
      </c>
      <c r="AB85" s="228" t="str">
        <f t="shared" si="13"/>
        <v>TinGuangdong Hanhe Non-Ferrous Metal Co., Ltd.</v>
      </c>
    </row>
    <row r="86" spans="1:28" s="227" customFormat="1" ht="38.25">
      <c r="A86" s="181" t="s">
        <v>13720</v>
      </c>
      <c r="B86" s="182" t="s">
        <v>1099</v>
      </c>
      <c r="C86" s="186" t="s">
        <v>13719</v>
      </c>
      <c r="D86" s="230" t="s">
        <v>13719</v>
      </c>
      <c r="E86" s="182" t="s">
        <v>1069</v>
      </c>
      <c r="F86" s="182" t="s">
        <v>13720</v>
      </c>
      <c r="G86" s="182" t="s">
        <v>13177</v>
      </c>
      <c r="H86" s="183"/>
      <c r="I86" s="184" t="s">
        <v>2398</v>
      </c>
      <c r="J86" s="184" t="s">
        <v>13540</v>
      </c>
      <c r="K86" s="224" t="s">
        <v>16106</v>
      </c>
      <c r="L86" s="224" t="s">
        <v>16107</v>
      </c>
      <c r="M86" s="224" t="s">
        <v>15875</v>
      </c>
      <c r="N86" s="224" t="s">
        <v>15827</v>
      </c>
      <c r="O86" s="224" t="s">
        <v>16108</v>
      </c>
      <c r="P86" s="185" t="s">
        <v>12407</v>
      </c>
      <c r="Q86" s="225" t="s">
        <v>15829</v>
      </c>
      <c r="R86" s="182" t="str">
        <f ca="1">IF(ISERROR($V86),"",OFFSET('Smelter Look-up'!$C$4,$V86-4,0)&amp;"")</f>
        <v>Yunnan Yunfan Non-ferrous Metals Co., Ltd.</v>
      </c>
      <c r="S86" s="181" t="str">
        <f t="shared" ca="1" si="11"/>
        <v>CN</v>
      </c>
      <c r="T86" s="181" t="str">
        <f ca="1">IF(B86="","",IF(ISERROR(MATCH($J86,SorP!$B$1:$B$6226,0)),"",INDIRECT("'SorP'!$A$"&amp;MATCH($S86&amp;$J86,SorP!C:C,0))))</f>
        <v>CN-YN</v>
      </c>
      <c r="U86" s="201"/>
      <c r="V86" s="226">
        <f>IF(C86="",NA(),IF(OR(C86="Smelter not listed",C86="Smelter not yet identified"),MATCH($B86&amp;$D86,'Smelter Look-up'!$J:$J,0),MATCH($B86&amp;$C86,'Smelter Look-up'!$J:$J,0)))</f>
        <v>547</v>
      </c>
      <c r="X86" s="227">
        <f t="shared" si="12"/>
        <v>0</v>
      </c>
      <c r="AB86" s="228" t="str">
        <f t="shared" si="13"/>
        <v>TinYunnan Yunfan Non-ferrous Metals Co., Ltd.</v>
      </c>
    </row>
    <row r="87" spans="1:28" s="227" customFormat="1" ht="51">
      <c r="A87" s="181" t="s">
        <v>14952</v>
      </c>
      <c r="B87" s="182" t="s">
        <v>1100</v>
      </c>
      <c r="C87" s="186" t="s">
        <v>15302</v>
      </c>
      <c r="D87" s="230" t="s">
        <v>15302</v>
      </c>
      <c r="E87" s="182" t="s">
        <v>1069</v>
      </c>
      <c r="F87" s="182" t="s">
        <v>14952</v>
      </c>
      <c r="G87" s="182" t="s">
        <v>13177</v>
      </c>
      <c r="H87" s="183" t="s">
        <v>16109</v>
      </c>
      <c r="I87" s="184" t="s">
        <v>15687</v>
      </c>
      <c r="J87" s="184" t="s">
        <v>13544</v>
      </c>
      <c r="K87" s="224" t="s">
        <v>16110</v>
      </c>
      <c r="L87" s="224" t="s">
        <v>16111</v>
      </c>
      <c r="M87" s="224" t="s">
        <v>15886</v>
      </c>
      <c r="N87" s="224" t="s">
        <v>15827</v>
      </c>
      <c r="O87" s="224" t="s">
        <v>16112</v>
      </c>
      <c r="P87" s="185" t="s">
        <v>12407</v>
      </c>
      <c r="Q87" s="225" t="s">
        <v>15829</v>
      </c>
      <c r="R87" s="182" t="str">
        <f ca="1">IF(ISERROR($V87),"",OFFSET('Smelter Look-up'!$C$4,$V87-4,0)&amp;"")</f>
        <v>RFH Yancheng Jinye New Material Technology Co., Ltd.</v>
      </c>
      <c r="S87" s="181" t="str">
        <f t="shared" ca="1" si="11"/>
        <v>CN</v>
      </c>
      <c r="T87" s="181" t="str">
        <f ca="1">IF(B87="","",IF(ISERROR(MATCH($J87,SorP!$B$1:$B$6226,0)),"",INDIRECT("'SorP'!$A$"&amp;MATCH($S87&amp;$J87,SorP!C:C,0))))</f>
        <v>CN-JS</v>
      </c>
      <c r="U87" s="201"/>
      <c r="V87" s="226">
        <f>IF(C87="",NA(),IF(OR(C87="Smelter not listed",C87="Smelter not yet identified"),MATCH($B87&amp;$D87,'Smelter Look-up'!$J:$J,0),MATCH($B87&amp;$C87,'Smelter Look-up'!$J:$J,0)))</f>
        <v>378</v>
      </c>
      <c r="X87" s="227">
        <f t="shared" si="12"/>
        <v>0</v>
      </c>
      <c r="AB87" s="228" t="str">
        <f t="shared" si="13"/>
        <v>TantalumRFH Yancheng Jinye New Material Technology Co., Ltd.</v>
      </c>
    </row>
    <row r="88" spans="1:28" s="227" customFormat="1" ht="38.25">
      <c r="A88" s="181" t="s">
        <v>14972</v>
      </c>
      <c r="B88" s="182" t="s">
        <v>1101</v>
      </c>
      <c r="C88" s="186" t="s">
        <v>15357</v>
      </c>
      <c r="D88" s="230" t="s">
        <v>15357</v>
      </c>
      <c r="E88" s="182" t="s">
        <v>1069</v>
      </c>
      <c r="F88" s="182" t="s">
        <v>14972</v>
      </c>
      <c r="G88" s="182" t="s">
        <v>13177</v>
      </c>
      <c r="H88" s="183" t="s">
        <v>16113</v>
      </c>
      <c r="I88" s="184" t="s">
        <v>13743</v>
      </c>
      <c r="J88" s="184" t="s">
        <v>13530</v>
      </c>
      <c r="K88" s="224" t="s">
        <v>16114</v>
      </c>
      <c r="L88" s="224" t="s">
        <v>16033</v>
      </c>
      <c r="M88" s="224" t="s">
        <v>15875</v>
      </c>
      <c r="N88" s="224" t="s">
        <v>15827</v>
      </c>
      <c r="O88" s="224" t="s">
        <v>1069</v>
      </c>
      <c r="P88" s="185" t="s">
        <v>12407</v>
      </c>
      <c r="Q88" s="225" t="s">
        <v>15829</v>
      </c>
      <c r="R88" s="182" t="str">
        <f ca="1">IF(ISERROR($V88),"",OFFSET('Smelter Look-up'!$C$4,$V88-4,0)&amp;"")</f>
        <v>Fujian Xinlu Tungsten Co., Ltd.</v>
      </c>
      <c r="S88" s="181" t="str">
        <f t="shared" ca="1" si="11"/>
        <v>CN</v>
      </c>
      <c r="T88" s="181" t="str">
        <f ca="1">IF(B88="","",IF(ISERROR(MATCH($J88,SorP!$B$1:$B$6226,0)),"",INDIRECT("'SorP'!$A$"&amp;MATCH($S88&amp;$J88,SorP!C:C,0))))</f>
        <v>CN-FJ</v>
      </c>
      <c r="U88" s="201"/>
      <c r="V88" s="226">
        <f>IF(C88="",NA(),IF(OR(C88="Smelter not listed",C88="Smelter not yet identified"),MATCH($B88&amp;$D88,'Smelter Look-up'!$J:$J,0),MATCH($B88&amp;$C88,'Smelter Look-up'!$J:$J,0)))</f>
        <v>574</v>
      </c>
      <c r="X88" s="227">
        <f t="shared" si="12"/>
        <v>0</v>
      </c>
      <c r="AB88" s="228" t="str">
        <f t="shared" si="13"/>
        <v>TungstenFujian Xinlu Tungsten Co., Ltd.</v>
      </c>
    </row>
    <row r="89" spans="1:28" s="227" customFormat="1" ht="25.5">
      <c r="A89" s="181" t="s">
        <v>15658</v>
      </c>
      <c r="B89" s="182" t="s">
        <v>1101</v>
      </c>
      <c r="C89" s="186" t="s">
        <v>15657</v>
      </c>
      <c r="D89" s="230" t="s">
        <v>15657</v>
      </c>
      <c r="E89" s="182" t="s">
        <v>1069</v>
      </c>
      <c r="F89" s="182" t="s">
        <v>15658</v>
      </c>
      <c r="G89" s="182" t="s">
        <v>13177</v>
      </c>
      <c r="H89" s="183"/>
      <c r="I89" s="184" t="s">
        <v>13743</v>
      </c>
      <c r="J89" s="184" t="s">
        <v>13530</v>
      </c>
      <c r="K89" s="224" t="s">
        <v>16115</v>
      </c>
      <c r="L89" s="224" t="s">
        <v>16116</v>
      </c>
      <c r="M89" s="224"/>
      <c r="N89" s="224" t="s">
        <v>15827</v>
      </c>
      <c r="O89" s="224" t="s">
        <v>1069</v>
      </c>
      <c r="P89" s="185" t="s">
        <v>12407</v>
      </c>
      <c r="Q89" s="225" t="s">
        <v>15829</v>
      </c>
      <c r="R89" s="182" t="str">
        <f ca="1">IF(ISERROR($V89),"",OFFSET('Smelter Look-up'!$C$4,$V89-4,0)&amp;"")</f>
        <v>Shinwon Tungsten (Fujian Shanghang) Co., Ltd.</v>
      </c>
      <c r="S89" s="181" t="str">
        <f t="shared" ca="1" si="11"/>
        <v>CN</v>
      </c>
      <c r="T89" s="181" t="str">
        <f ca="1">IF(B89="","",IF(ISERROR(MATCH($J89,SorP!$B$1:$B$6226,0)),"",INDIRECT("'SorP'!$A$"&amp;MATCH($S89&amp;$J89,SorP!C:C,0))))</f>
        <v>CN-FJ</v>
      </c>
      <c r="U89" s="201"/>
      <c r="V89" s="226">
        <f>IF(C89="",NA(),IF(OR(C89="Smelter not listed",C89="Smelter not yet identified"),MATCH($B89&amp;$D89,'Smelter Look-up'!$J:$J,0),MATCH($B89&amp;$C89,'Smelter Look-up'!$J:$J,0)))</f>
        <v>625</v>
      </c>
      <c r="X89" s="227">
        <f t="shared" si="12"/>
        <v>0</v>
      </c>
      <c r="AB89" s="228" t="str">
        <f t="shared" si="13"/>
        <v>TungstenShinwon Tungsten (Fujian Shanghang) Co., Ltd.</v>
      </c>
    </row>
    <row r="90" spans="1:28" s="227" customFormat="1" ht="114.75">
      <c r="A90" s="181" t="s">
        <v>709</v>
      </c>
      <c r="B90" s="182" t="s">
        <v>1098</v>
      </c>
      <c r="C90" s="186" t="s">
        <v>2114</v>
      </c>
      <c r="D90" s="230" t="s">
        <v>2114</v>
      </c>
      <c r="E90" s="182" t="s">
        <v>1069</v>
      </c>
      <c r="F90" s="182" t="s">
        <v>709</v>
      </c>
      <c r="G90" s="182" t="s">
        <v>13177</v>
      </c>
      <c r="H90" s="183" t="s">
        <v>16117</v>
      </c>
      <c r="I90" s="184" t="s">
        <v>1552</v>
      </c>
      <c r="J90" s="184" t="s">
        <v>13532</v>
      </c>
      <c r="K90" s="224" t="s">
        <v>16118</v>
      </c>
      <c r="L90" s="224" t="s">
        <v>16119</v>
      </c>
      <c r="M90" s="224"/>
      <c r="N90" s="224" t="s">
        <v>16120</v>
      </c>
      <c r="O90" s="224" t="s">
        <v>16121</v>
      </c>
      <c r="P90" s="185" t="s">
        <v>476</v>
      </c>
      <c r="Q90" s="225" t="s">
        <v>15829</v>
      </c>
      <c r="R90" s="182" t="str">
        <f ca="1">IF(ISERROR($V90),"",OFFSET('Smelter Look-up'!$C$4,$V90-4,0)&amp;"")</f>
        <v>Shandong Zhaojin Gold &amp; Silver Refinery Co., Ltd.</v>
      </c>
      <c r="S90" s="181" t="str">
        <f t="shared" ca="1" si="11"/>
        <v>CN</v>
      </c>
      <c r="T90" s="181" t="str">
        <f ca="1">IF(B90="","",IF(ISERROR(MATCH($J90,SorP!$B$1:$B$6226,0)),"",INDIRECT("'SorP'!$A$"&amp;MATCH($S90&amp;$J90,SorP!C:C,0))))</f>
        <v>CN-SD</v>
      </c>
      <c r="U90" s="201"/>
      <c r="V90" s="226">
        <f>IF(C90="",NA(),IF(OR(C90="Smelter not listed",C90="Smelter not yet identified"),MATCH($B90&amp;$D90,'Smelter Look-up'!$J:$J,0),MATCH($B90&amp;$C90,'Smelter Look-up'!$J:$J,0)))</f>
        <v>254</v>
      </c>
      <c r="X90" s="227">
        <f t="shared" si="12"/>
        <v>0</v>
      </c>
      <c r="AB90" s="228" t="str">
        <f t="shared" si="13"/>
        <v>GoldShandong Zhaojin Gold &amp; Silver Refinery Co., Ltd.</v>
      </c>
    </row>
    <row r="91" spans="1:28" s="227" customFormat="1" ht="20.25">
      <c r="A91" s="181" t="s">
        <v>16122</v>
      </c>
      <c r="B91" s="182" t="s">
        <v>1100</v>
      </c>
      <c r="C91" s="186" t="s">
        <v>16123</v>
      </c>
      <c r="D91" s="230" t="s">
        <v>16123</v>
      </c>
      <c r="E91" s="182" t="s">
        <v>1069</v>
      </c>
      <c r="F91" s="182" t="s">
        <v>16122</v>
      </c>
      <c r="G91" s="182" t="s">
        <v>13177</v>
      </c>
      <c r="H91" s="183"/>
      <c r="I91" s="184" t="s">
        <v>15840</v>
      </c>
      <c r="J91" s="184" t="s">
        <v>15840</v>
      </c>
      <c r="K91" s="224"/>
      <c r="L91" s="224"/>
      <c r="M91" s="224"/>
      <c r="N91" s="224"/>
      <c r="O91" s="224"/>
      <c r="P91" s="185"/>
      <c r="Q91" s="225"/>
      <c r="R91" s="182" t="str">
        <f ca="1">IF(ISERROR($V91),"",OFFSET('Smelter Look-up'!$C$4,$V91-4,0)&amp;"")</f>
        <v/>
      </c>
      <c r="S91" s="181" t="str">
        <f t="shared" ca="1" si="11"/>
        <v>CN</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si="12"/>
        <v>0</v>
      </c>
      <c r="AB91" s="228" t="str">
        <f t="shared" si="13"/>
        <v>TantalumANHUI HERRMAN IMPEX CO.</v>
      </c>
    </row>
    <row r="92" spans="1:28" s="227" customFormat="1" ht="38.25">
      <c r="A92" s="181" t="s">
        <v>725</v>
      </c>
      <c r="B92" s="182" t="s">
        <v>1098</v>
      </c>
      <c r="C92" s="186" t="s">
        <v>2097</v>
      </c>
      <c r="D92" s="230" t="s">
        <v>2097</v>
      </c>
      <c r="E92" s="182" t="s">
        <v>1069</v>
      </c>
      <c r="F92" s="182" t="s">
        <v>725</v>
      </c>
      <c r="G92" s="182" t="s">
        <v>13177</v>
      </c>
      <c r="H92" s="183"/>
      <c r="I92" s="184" t="s">
        <v>1534</v>
      </c>
      <c r="J92" s="184" t="s">
        <v>13540</v>
      </c>
      <c r="K92" s="224"/>
      <c r="L92" s="224"/>
      <c r="M92" s="224"/>
      <c r="N92" s="224"/>
      <c r="O92" s="224" t="s">
        <v>16124</v>
      </c>
      <c r="P92" s="185"/>
      <c r="Q92" s="225"/>
      <c r="R92" s="182" t="str">
        <f ca="1">IF(ISERROR($V92),"",OFFSET('Smelter Look-up'!$C$4,$V92-4,0)&amp;"")</f>
        <v>Yunnan Copper Industry Co., Ltd.</v>
      </c>
      <c r="S92" s="181" t="str">
        <f t="shared" ca="1" si="11"/>
        <v>CN</v>
      </c>
      <c r="T92" s="181" t="str">
        <f ca="1">IF(B92="","",IF(ISERROR(MATCH($J92,SorP!$B$1:$B$6226,0)),"",INDIRECT("'SorP'!$A$"&amp;MATCH($S92&amp;$J92,SorP!C:C,0))))</f>
        <v>CN-YN</v>
      </c>
      <c r="U92" s="201"/>
      <c r="V92" s="226">
        <f>IF(C92="",NA(),IF(OR(C92="Smelter not listed",C92="Smelter not yet identified"),MATCH($B92&amp;$D92,'Smelter Look-up'!$J:$J,0),MATCH($B92&amp;$C92,'Smelter Look-up'!$J:$J,0)))</f>
        <v>317</v>
      </c>
      <c r="X92" s="227">
        <f t="shared" si="12"/>
        <v>0</v>
      </c>
      <c r="AB92" s="228" t="str">
        <f t="shared" si="13"/>
        <v>GoldYunnan Copper Industry Co., Ltd.</v>
      </c>
    </row>
    <row r="93" spans="1:28" s="227" customFormat="1" ht="51">
      <c r="A93" s="181" t="s">
        <v>16125</v>
      </c>
      <c r="B93" s="182" t="s">
        <v>1100</v>
      </c>
      <c r="C93" s="186" t="s">
        <v>16126</v>
      </c>
      <c r="D93" s="230" t="s">
        <v>16126</v>
      </c>
      <c r="E93" s="182" t="s">
        <v>1069</v>
      </c>
      <c r="F93" s="182" t="s">
        <v>16125</v>
      </c>
      <c r="G93" s="182" t="s">
        <v>13177</v>
      </c>
      <c r="H93" s="183"/>
      <c r="I93" s="184" t="s">
        <v>16127</v>
      </c>
      <c r="J93" s="184" t="s">
        <v>13535</v>
      </c>
      <c r="K93" s="224"/>
      <c r="L93" s="224"/>
      <c r="M93" s="224"/>
      <c r="N93" s="224"/>
      <c r="O93" s="224" t="s">
        <v>16128</v>
      </c>
      <c r="P93" s="185"/>
      <c r="Q93" s="225"/>
      <c r="R93" s="182" t="str">
        <f ca="1">IF(ISERROR($V93),"",OFFSET('Smelter Look-up'!$C$4,$V93-4,0)&amp;"")</f>
        <v/>
      </c>
      <c r="S93" s="181" t="str">
        <f t="shared" ca="1" si="11"/>
        <v>CN</v>
      </c>
      <c r="T93" s="181" t="str">
        <f ca="1">IF(B93="","",IF(ISERROR(MATCH($J93,SorP!$B$1:$B$6226,0)),"",INDIRECT("'SorP'!$A$"&amp;MATCH($S93&amp;$J93,SorP!C:C,0))))</f>
        <v>CN-HN</v>
      </c>
      <c r="U93" s="201"/>
      <c r="V93" s="226" t="e">
        <f>IF(C93="",NA(),IF(OR(C93="Smelter not listed",C93="Smelter not yet identified"),MATCH($B93&amp;$D93,'Smelter Look-up'!$J:$J,0),MATCH($B93&amp;$C93,'Smelter Look-up'!$J:$J,0)))</f>
        <v>#N/A</v>
      </c>
      <c r="X93" s="227">
        <f t="shared" si="12"/>
        <v>0</v>
      </c>
      <c r="AB93" s="228" t="str">
        <f t="shared" si="13"/>
        <v>TantalumChangsha South Tantalum Niobium Co., Ltd.</v>
      </c>
    </row>
    <row r="94" spans="1:28" s="227" customFormat="1" ht="25.5">
      <c r="A94" s="181" t="s">
        <v>16129</v>
      </c>
      <c r="B94" s="182" t="s">
        <v>1100</v>
      </c>
      <c r="C94" s="186" t="s">
        <v>1805</v>
      </c>
      <c r="D94" s="230" t="s">
        <v>1344</v>
      </c>
      <c r="E94" s="182" t="s">
        <v>1069</v>
      </c>
      <c r="F94" s="182" t="s">
        <v>16129</v>
      </c>
      <c r="G94" s="182" t="s">
        <v>13177</v>
      </c>
      <c r="H94" s="183"/>
      <c r="I94" s="184" t="s">
        <v>15840</v>
      </c>
      <c r="J94" s="184" t="s">
        <v>15840</v>
      </c>
      <c r="K94" s="224"/>
      <c r="L94" s="224"/>
      <c r="M94" s="224"/>
      <c r="N94" s="224"/>
      <c r="O94" s="224"/>
      <c r="P94" s="185"/>
      <c r="Q94" s="225"/>
      <c r="R94" s="182" t="str">
        <f ca="1">IF(ISERROR($V94),"",OFFSET('Smelter Look-up'!$C$4,$V94-4,0)&amp;"")</f>
        <v/>
      </c>
      <c r="S94" s="181" t="str">
        <f t="shared" ca="1" si="11"/>
        <v>CN</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si="12"/>
        <v>0</v>
      </c>
      <c r="AB94" s="228" t="str">
        <f t="shared" si="13"/>
        <v>TantalumSmelter not listed</v>
      </c>
    </row>
    <row r="95" spans="1:28" s="227" customFormat="1" ht="25.5">
      <c r="A95" s="181" t="s">
        <v>13725</v>
      </c>
      <c r="B95" s="182" t="s">
        <v>1101</v>
      </c>
      <c r="C95" s="186" t="s">
        <v>2098</v>
      </c>
      <c r="D95" s="230" t="s">
        <v>2098</v>
      </c>
      <c r="E95" s="182" t="s">
        <v>1069</v>
      </c>
      <c r="F95" s="182" t="s">
        <v>13725</v>
      </c>
      <c r="G95" s="182" t="s">
        <v>13177</v>
      </c>
      <c r="H95" s="183"/>
      <c r="I95" s="184" t="s">
        <v>1718</v>
      </c>
      <c r="J95" s="184" t="s">
        <v>13515</v>
      </c>
      <c r="K95" s="224"/>
      <c r="L95" s="224"/>
      <c r="M95" s="224"/>
      <c r="N95" s="224"/>
      <c r="O95" s="224" t="s">
        <v>15948</v>
      </c>
      <c r="P95" s="185"/>
      <c r="Q95" s="225"/>
      <c r="R95" s="182" t="str">
        <f ca="1">IF(ISERROR($V95),"",OFFSET('Smelter Look-up'!$C$4,$V95-4,0)&amp;"")</f>
        <v>CNMC (Guangxi) PGMA Co., Ltd.</v>
      </c>
      <c r="S95" s="181" t="str">
        <f t="shared" ca="1" si="11"/>
        <v>CN</v>
      </c>
      <c r="T95" s="181" t="str">
        <f ca="1">IF(B95="","",IF(ISERROR(MATCH($J95,SorP!$B$1:$B$6226,0)),"",INDIRECT("'SorP'!$A$"&amp;MATCH($S95&amp;$J95,SorP!C:C,0))))</f>
        <v>CN-GX</v>
      </c>
      <c r="U95" s="201"/>
      <c r="V95" s="226">
        <f>IF(C95="",NA(),IF(OR(C95="Smelter not listed",C95="Smelter not yet identified"),MATCH($B95&amp;$D95,'Smelter Look-up'!$J:$J,0),MATCH($B95&amp;$C95,'Smelter Look-up'!$J:$J,0)))</f>
        <v>570</v>
      </c>
      <c r="X95" s="227">
        <f t="shared" si="12"/>
        <v>0</v>
      </c>
      <c r="AB95" s="228" t="str">
        <f t="shared" si="13"/>
        <v>TungstenCNMC (Guangxi) PGMA Co., Ltd.</v>
      </c>
    </row>
    <row r="96" spans="1:28" s="227" customFormat="1" ht="76.5">
      <c r="A96" s="181" t="s">
        <v>652</v>
      </c>
      <c r="B96" s="182" t="s">
        <v>1098</v>
      </c>
      <c r="C96" s="186" t="s">
        <v>651</v>
      </c>
      <c r="D96" s="230" t="s">
        <v>651</v>
      </c>
      <c r="E96" s="182" t="s">
        <v>1069</v>
      </c>
      <c r="F96" s="182" t="s">
        <v>652</v>
      </c>
      <c r="G96" s="182" t="s">
        <v>13177</v>
      </c>
      <c r="H96" s="183"/>
      <c r="I96" s="184" t="s">
        <v>1539</v>
      </c>
      <c r="J96" s="184" t="s">
        <v>13534</v>
      </c>
      <c r="K96" s="224"/>
      <c r="L96" s="224"/>
      <c r="M96" s="224"/>
      <c r="N96" s="224"/>
      <c r="O96" s="224" t="s">
        <v>16130</v>
      </c>
      <c r="P96" s="185"/>
      <c r="Q96" s="225"/>
      <c r="R96" s="182" t="str">
        <f ca="1">IF(ISERROR($V96),"",OFFSET('Smelter Look-up'!$C$4,$V96-4,0)&amp;"")</f>
        <v>Daye Non-Ferrous Metals Mining Ltd.</v>
      </c>
      <c r="S96" s="181" t="str">
        <f t="shared" ca="1" si="11"/>
        <v>CN</v>
      </c>
      <c r="T96" s="181" t="str">
        <f ca="1">IF(B96="","",IF(ISERROR(MATCH($J96,SorP!$B$1:$B$6226,0)),"",INDIRECT("'SorP'!$A$"&amp;MATCH($S96&amp;$J96,SorP!C:C,0))))</f>
        <v>CN-HB</v>
      </c>
      <c r="U96" s="201"/>
      <c r="V96" s="226">
        <f>IF(C96="",NA(),IF(OR(C96="Smelter not listed",C96="Smelter not yet identified"),MATCH($B96&amp;$D96,'Smelter Look-up'!$J:$J,0),MATCH($B96&amp;$C96,'Smelter Look-up'!$J:$J,0)))</f>
        <v>61</v>
      </c>
      <c r="X96" s="227">
        <f t="shared" si="12"/>
        <v>0</v>
      </c>
      <c r="AB96" s="228" t="str">
        <f t="shared" si="13"/>
        <v>GoldDaye Non-Ferrous Metals Mining Ltd.</v>
      </c>
    </row>
    <row r="97" spans="1:28" s="227" customFormat="1" ht="25.5">
      <c r="A97" s="181" t="s">
        <v>16131</v>
      </c>
      <c r="B97" s="182" t="s">
        <v>1099</v>
      </c>
      <c r="C97" s="186" t="s">
        <v>16132</v>
      </c>
      <c r="D97" s="230" t="s">
        <v>16132</v>
      </c>
      <c r="E97" s="182" t="s">
        <v>1069</v>
      </c>
      <c r="F97" s="182" t="s">
        <v>16131</v>
      </c>
      <c r="G97" s="182" t="s">
        <v>13177</v>
      </c>
      <c r="H97" s="183"/>
      <c r="I97" s="184" t="s">
        <v>15840</v>
      </c>
      <c r="J97" s="184" t="s">
        <v>15840</v>
      </c>
      <c r="K97" s="224"/>
      <c r="L97" s="224"/>
      <c r="M97" s="224"/>
      <c r="N97" s="224"/>
      <c r="O97" s="224"/>
      <c r="P97" s="185"/>
      <c r="Q97" s="225"/>
      <c r="R97" s="182" t="str">
        <f ca="1">IF(ISERROR($V97),"",OFFSET('Smelter Look-up'!$C$4,$V97-4,0)&amp;"")</f>
        <v/>
      </c>
      <c r="S97" s="181" t="str">
        <f t="shared" ca="1" si="11"/>
        <v>CN</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si="12"/>
        <v>0</v>
      </c>
      <c r="AB97" s="228" t="str">
        <f t="shared" si="13"/>
        <v>TinDingnan Jiawang environmental Tin technology Co.</v>
      </c>
    </row>
    <row r="98" spans="1:28" s="227" customFormat="1" ht="25.5">
      <c r="A98" s="181" t="s">
        <v>16133</v>
      </c>
      <c r="B98" s="182" t="s">
        <v>1099</v>
      </c>
      <c r="C98" s="186" t="s">
        <v>16134</v>
      </c>
      <c r="D98" s="230" t="s">
        <v>16134</v>
      </c>
      <c r="E98" s="182" t="s">
        <v>1069</v>
      </c>
      <c r="F98" s="182" t="s">
        <v>16133</v>
      </c>
      <c r="G98" s="182" t="s">
        <v>13177</v>
      </c>
      <c r="H98" s="183"/>
      <c r="I98" s="184" t="s">
        <v>15840</v>
      </c>
      <c r="J98" s="184" t="s">
        <v>15840</v>
      </c>
      <c r="K98" s="224"/>
      <c r="L98" s="224"/>
      <c r="M98" s="224"/>
      <c r="N98" s="224"/>
      <c r="O98" s="224"/>
      <c r="P98" s="185"/>
      <c r="Q98" s="225"/>
      <c r="R98" s="182" t="str">
        <f ca="1">IF(ISERROR($V98),"",OFFSET('Smelter Look-up'!$C$4,$V98-4,0)&amp;"")</f>
        <v/>
      </c>
      <c r="S98" s="181" t="str">
        <f t="shared" ca="1" si="11"/>
        <v>CN</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si="12"/>
        <v>0</v>
      </c>
      <c r="AB98" s="228" t="str">
        <f t="shared" si="13"/>
        <v>TinDongguan City Xida Soldering Tin Products Co.</v>
      </c>
    </row>
    <row r="99" spans="1:28" s="227" customFormat="1" ht="20.25">
      <c r="A99" s="181" t="s">
        <v>656</v>
      </c>
      <c r="B99" s="182" t="s">
        <v>1098</v>
      </c>
      <c r="C99" s="186" t="s">
        <v>12869</v>
      </c>
      <c r="D99" s="230" t="s">
        <v>12869</v>
      </c>
      <c r="E99" s="182" t="s">
        <v>1069</v>
      </c>
      <c r="F99" s="182" t="s">
        <v>656</v>
      </c>
      <c r="G99" s="182" t="s">
        <v>13177</v>
      </c>
      <c r="H99" s="183"/>
      <c r="I99" s="184" t="s">
        <v>1549</v>
      </c>
      <c r="J99" s="184" t="s">
        <v>13542</v>
      </c>
      <c r="K99" s="224"/>
      <c r="L99" s="224"/>
      <c r="M99" s="224"/>
      <c r="N99" s="224"/>
      <c r="O99" s="224" t="s">
        <v>15948</v>
      </c>
      <c r="P99" s="185"/>
      <c r="Q99" s="225"/>
      <c r="R99" s="182" t="str">
        <f ca="1">IF(ISERROR($V99),"",OFFSET('Smelter Look-up'!$C$4,$V99-4,0)&amp;"")</f>
        <v>Refinery of Seemine Gold Co., Ltd.</v>
      </c>
      <c r="S99" s="181" t="str">
        <f t="shared" ca="1" si="11"/>
        <v>CN</v>
      </c>
      <c r="T99" s="181" t="str">
        <f ca="1">IF(B99="","",IF(ISERROR(MATCH($J99,SorP!$B$1:$B$6226,0)),"",INDIRECT("'SorP'!$A$"&amp;MATCH($S99&amp;$J99,SorP!C:C,0))))</f>
        <v>CN-GS</v>
      </c>
      <c r="U99" s="201"/>
      <c r="V99" s="226">
        <f>IF(C99="",NA(),IF(OR(C99="Smelter not listed",C99="Smelter not yet identified"),MATCH($B99&amp;$D99,'Smelter Look-up'!$J:$J,0),MATCH($B99&amp;$C99,'Smelter Look-up'!$J:$J,0)))</f>
        <v>226</v>
      </c>
      <c r="X99" s="227">
        <f t="shared" si="12"/>
        <v>0</v>
      </c>
      <c r="AB99" s="228" t="str">
        <f t="shared" si="13"/>
        <v>GoldRefinery of Seemine Gold Co., Ltd.</v>
      </c>
    </row>
    <row r="100" spans="1:28" s="227" customFormat="1" ht="20.25">
      <c r="A100" s="181" t="s">
        <v>16135</v>
      </c>
      <c r="B100" s="182" t="s">
        <v>1099</v>
      </c>
      <c r="C100" s="186" t="s">
        <v>16136</v>
      </c>
      <c r="D100" s="230" t="s">
        <v>16136</v>
      </c>
      <c r="E100" s="182" t="s">
        <v>1069</v>
      </c>
      <c r="F100" s="182" t="s">
        <v>16135</v>
      </c>
      <c r="G100" s="182" t="s">
        <v>13177</v>
      </c>
      <c r="H100" s="183"/>
      <c r="I100" s="184" t="s">
        <v>15840</v>
      </c>
      <c r="J100" s="184" t="s">
        <v>15840</v>
      </c>
      <c r="K100" s="224"/>
      <c r="L100" s="224"/>
      <c r="M100" s="224"/>
      <c r="N100" s="224"/>
      <c r="O100" s="224"/>
      <c r="P100" s="185"/>
      <c r="Q100" s="225"/>
      <c r="R100" s="182" t="str">
        <f ca="1">IF(ISERROR($V100),"",OFFSET('Smelter Look-up'!$C$4,$V100-4,0)&amp;"")</f>
        <v/>
      </c>
      <c r="S100" s="181" t="str">
        <f t="shared" ca="1" si="11"/>
        <v>CN</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si="12"/>
        <v>0</v>
      </c>
      <c r="AB100" s="228" t="str">
        <f t="shared" si="13"/>
        <v>TinGejiu Yunxi Group Corp.</v>
      </c>
    </row>
    <row r="101" spans="1:28" s="227" customFormat="1" ht="102">
      <c r="A101" s="181" t="s">
        <v>749</v>
      </c>
      <c r="B101" s="182" t="s">
        <v>1099</v>
      </c>
      <c r="C101" s="186" t="s">
        <v>1731</v>
      </c>
      <c r="D101" s="230" t="s">
        <v>1731</v>
      </c>
      <c r="E101" s="182" t="s">
        <v>1069</v>
      </c>
      <c r="F101" s="182" t="s">
        <v>749</v>
      </c>
      <c r="G101" s="182" t="s">
        <v>13177</v>
      </c>
      <c r="H101" s="183"/>
      <c r="I101" s="184" t="s">
        <v>2398</v>
      </c>
      <c r="J101" s="184" t="s">
        <v>13540</v>
      </c>
      <c r="K101" s="224"/>
      <c r="L101" s="224"/>
      <c r="M101" s="224"/>
      <c r="N101" s="224"/>
      <c r="O101" s="224" t="s">
        <v>16137</v>
      </c>
      <c r="P101" s="185"/>
      <c r="Q101" s="225"/>
      <c r="R101" s="182" t="str">
        <f ca="1">IF(ISERROR($V101),"",OFFSET('Smelter Look-up'!$C$4,$V101-4,0)&amp;"")</f>
        <v>Gejiu Zili Mining And Metallurgy Co., Ltd.</v>
      </c>
      <c r="S101" s="181" t="str">
        <f t="shared" ca="1" si="11"/>
        <v>CN</v>
      </c>
      <c r="T101" s="181" t="str">
        <f ca="1">IF(B101="","",IF(ISERROR(MATCH($J101,SorP!$B$1:$B$6226,0)),"",INDIRECT("'SorP'!$A$"&amp;MATCH($S101&amp;$J101,SorP!C:C,0))))</f>
        <v>CN-YN</v>
      </c>
      <c r="U101" s="201"/>
      <c r="V101" s="226">
        <f>IF(C101="",NA(),IF(OR(C101="Smelter not listed",C101="Smelter not yet identified"),MATCH($B101&amp;$D101,'Smelter Look-up'!$J:$J,0),MATCH($B101&amp;$C101,'Smelter Look-up'!$J:$J,0)))</f>
        <v>446</v>
      </c>
      <c r="X101" s="227">
        <f t="shared" si="12"/>
        <v>0</v>
      </c>
      <c r="AB101" s="228" t="str">
        <f t="shared" si="13"/>
        <v>TinGejiu Zili Mining And Metallurgy Co., Ltd.</v>
      </c>
    </row>
    <row r="102" spans="1:28" s="227" customFormat="1" ht="25.5">
      <c r="A102" s="181" t="s">
        <v>16138</v>
      </c>
      <c r="B102" s="182" t="s">
        <v>1098</v>
      </c>
      <c r="C102" s="186" t="s">
        <v>16139</v>
      </c>
      <c r="D102" s="230" t="s">
        <v>16139</v>
      </c>
      <c r="E102" s="182" t="s">
        <v>1069</v>
      </c>
      <c r="F102" s="182" t="s">
        <v>16138</v>
      </c>
      <c r="G102" s="182" t="s">
        <v>13177</v>
      </c>
      <c r="H102" s="183"/>
      <c r="I102" s="184" t="s">
        <v>15840</v>
      </c>
      <c r="J102" s="184" t="s">
        <v>15840</v>
      </c>
      <c r="K102" s="224"/>
      <c r="L102" s="224"/>
      <c r="M102" s="224"/>
      <c r="N102" s="224"/>
      <c r="O102" s="224"/>
      <c r="P102" s="185"/>
      <c r="Q102" s="225"/>
      <c r="R102" s="182" t="str">
        <f ca="1">IF(ISERROR($V102),"",OFFSET('Smelter Look-up'!$C$4,$V102-4,0)&amp;"")</f>
        <v/>
      </c>
      <c r="S102" s="181" t="str">
        <f t="shared" ref="S102:S132" ca="1" si="14">IF(B102="","",IF(ISERROR(MATCH($E102,CL,0)),"Unknown",INDIRECT("'C'!$A$"&amp;MATCH($E102,CL,0)+1)))</f>
        <v>CN</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si="15">IF(AND(C102="Smelter not listed",OR(LEN(D102)=0,LEN(E102)=0)),1,0)</f>
        <v>0</v>
      </c>
      <c r="AB102" s="228" t="str">
        <f t="shared" ref="AB102:AB132" si="16">B102&amp;C102</f>
        <v>GoldGuangdong Hua Jian Trade Co., Ltd.</v>
      </c>
    </row>
    <row r="103" spans="1:28" s="227" customFormat="1" ht="20.25">
      <c r="A103" s="181" t="s">
        <v>16140</v>
      </c>
      <c r="B103" s="182" t="s">
        <v>1099</v>
      </c>
      <c r="C103" s="186" t="s">
        <v>16141</v>
      </c>
      <c r="D103" s="230" t="s">
        <v>16141</v>
      </c>
      <c r="E103" s="182" t="s">
        <v>1069</v>
      </c>
      <c r="F103" s="182" t="s">
        <v>16140</v>
      </c>
      <c r="G103" s="182" t="s">
        <v>13177</v>
      </c>
      <c r="H103" s="183"/>
      <c r="I103" s="184" t="s">
        <v>15840</v>
      </c>
      <c r="J103" s="184" t="s">
        <v>15840</v>
      </c>
      <c r="K103" s="224"/>
      <c r="L103" s="224"/>
      <c r="M103" s="224"/>
      <c r="N103" s="224"/>
      <c r="O103" s="224"/>
      <c r="P103" s="185"/>
      <c r="Q103" s="225"/>
      <c r="R103" s="182" t="str">
        <f ca="1">IF(ISERROR($V103),"",OFFSET('Smelter Look-up'!$C$4,$V103-4,0)&amp;"")</f>
        <v/>
      </c>
      <c r="S103" s="181" t="str">
        <f t="shared" ca="1" si="14"/>
        <v>CN</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si="15"/>
        <v>0</v>
      </c>
      <c r="AB103" s="228" t="str">
        <f t="shared" si="16"/>
        <v>TinGuangxi Nonferrous Metals Group</v>
      </c>
    </row>
    <row r="104" spans="1:28" s="227" customFormat="1" ht="25.5">
      <c r="A104" s="181" t="s">
        <v>16142</v>
      </c>
      <c r="B104" s="182" t="s">
        <v>1099</v>
      </c>
      <c r="C104" s="186" t="s">
        <v>16143</v>
      </c>
      <c r="D104" s="230" t="s">
        <v>16143</v>
      </c>
      <c r="E104" s="182" t="s">
        <v>1069</v>
      </c>
      <c r="F104" s="182" t="s">
        <v>16142</v>
      </c>
      <c r="G104" s="182" t="s">
        <v>13177</v>
      </c>
      <c r="H104" s="183"/>
      <c r="I104" s="184" t="s">
        <v>15840</v>
      </c>
      <c r="J104" s="184" t="s">
        <v>15840</v>
      </c>
      <c r="K104" s="224"/>
      <c r="L104" s="224"/>
      <c r="M104" s="224"/>
      <c r="N104" s="224"/>
      <c r="O104" s="224"/>
      <c r="P104" s="185"/>
      <c r="Q104" s="225"/>
      <c r="R104" s="182" t="str">
        <f ca="1">IF(ISERROR($V104),"",OFFSET('Smelter Look-up'!$C$4,$V104-4,0)&amp;"")</f>
        <v/>
      </c>
      <c r="S104" s="181" t="str">
        <f t="shared" ca="1" si="14"/>
        <v>CN</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si="15"/>
        <v>0</v>
      </c>
      <c r="AB104" s="228" t="str">
        <f t="shared" si="16"/>
        <v>TinGuangxi Zhongshan Jin Yi Smelting Co., Ltd.</v>
      </c>
    </row>
    <row r="105" spans="1:28" s="227" customFormat="1" ht="25.5">
      <c r="A105" s="181" t="s">
        <v>1551</v>
      </c>
      <c r="B105" s="182" t="s">
        <v>1098</v>
      </c>
      <c r="C105" s="186" t="s">
        <v>1550</v>
      </c>
      <c r="D105" s="230" t="s">
        <v>1550</v>
      </c>
      <c r="E105" s="182" t="s">
        <v>1069</v>
      </c>
      <c r="F105" s="182" t="s">
        <v>1551</v>
      </c>
      <c r="G105" s="182" t="s">
        <v>13177</v>
      </c>
      <c r="H105" s="183"/>
      <c r="I105" s="184" t="s">
        <v>1552</v>
      </c>
      <c r="J105" s="184" t="s">
        <v>13532</v>
      </c>
      <c r="K105" s="224"/>
      <c r="L105" s="224"/>
      <c r="M105" s="224"/>
      <c r="N105" s="224"/>
      <c r="O105" s="224" t="s">
        <v>16144</v>
      </c>
      <c r="P105" s="185"/>
      <c r="Q105" s="225"/>
      <c r="R105" s="182" t="str">
        <f ca="1">IF(ISERROR($V105),"",OFFSET('Smelter Look-up'!$C$4,$V105-4,0)&amp;"")</f>
        <v>Guoda Safina High-Tech Environmental Refinery Co., Ltd.</v>
      </c>
      <c r="S105" s="181" t="str">
        <f t="shared" ca="1" si="14"/>
        <v>CN</v>
      </c>
      <c r="T105" s="181" t="str">
        <f ca="1">IF(B105="","",IF(ISERROR(MATCH($J105,SorP!$B$1:$B$6226,0)),"",INDIRECT("'SorP'!$A$"&amp;MATCH($S105&amp;$J105,SorP!C:C,0))))</f>
        <v>CN-SD</v>
      </c>
      <c r="U105" s="201"/>
      <c r="V105" s="226">
        <f>IF(C105="",NA(),IF(OR(C105="Smelter not listed",C105="Smelter not yet identified"),MATCH($B105&amp;$D105,'Smelter Look-up'!$J:$J,0),MATCH($B105&amp;$C105,'Smelter Look-up'!$J:$J,0)))</f>
        <v>101</v>
      </c>
      <c r="X105" s="227">
        <f t="shared" si="15"/>
        <v>0</v>
      </c>
      <c r="AB105" s="228" t="str">
        <f t="shared" si="16"/>
        <v>GoldGuoda Safina High-Tech Environmental Refinery Co., Ltd.</v>
      </c>
    </row>
    <row r="106" spans="1:28" s="227" customFormat="1" ht="20.25">
      <c r="A106" s="181" t="s">
        <v>16145</v>
      </c>
      <c r="B106" s="182" t="s">
        <v>1098</v>
      </c>
      <c r="C106" s="186" t="s">
        <v>16146</v>
      </c>
      <c r="D106" s="230" t="s">
        <v>16146</v>
      </c>
      <c r="E106" s="182" t="s">
        <v>1069</v>
      </c>
      <c r="F106" s="182" t="s">
        <v>16145</v>
      </c>
      <c r="G106" s="182" t="s">
        <v>13177</v>
      </c>
      <c r="H106" s="183"/>
      <c r="I106" s="184" t="s">
        <v>15840</v>
      </c>
      <c r="J106" s="184" t="s">
        <v>15840</v>
      </c>
      <c r="K106" s="224"/>
      <c r="L106" s="224"/>
      <c r="M106" s="224"/>
      <c r="N106" s="224"/>
      <c r="O106" s="224"/>
      <c r="P106" s="185"/>
      <c r="Q106" s="225"/>
      <c r="R106" s="182" t="str">
        <f ca="1">IF(ISERROR($V106),"",OFFSET('Smelter Look-up'!$C$4,$V106-4,0)&amp;"")</f>
        <v/>
      </c>
      <c r="S106" s="181" t="str">
        <f t="shared" ca="1" si="14"/>
        <v>CN</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si="15"/>
        <v>0</v>
      </c>
      <c r="AB106" s="228" t="str">
        <f t="shared" si="16"/>
        <v>GoldHang Seng Technology</v>
      </c>
    </row>
    <row r="107" spans="1:28" s="227" customFormat="1" ht="25.5">
      <c r="A107" s="181" t="s">
        <v>382</v>
      </c>
      <c r="B107" s="182" t="s">
        <v>1098</v>
      </c>
      <c r="C107" s="186" t="s">
        <v>381</v>
      </c>
      <c r="D107" s="230" t="s">
        <v>381</v>
      </c>
      <c r="E107" s="182" t="s">
        <v>1069</v>
      </c>
      <c r="F107" s="182" t="s">
        <v>382</v>
      </c>
      <c r="G107" s="182" t="s">
        <v>13177</v>
      </c>
      <c r="H107" s="183"/>
      <c r="I107" s="184" t="s">
        <v>1554</v>
      </c>
      <c r="J107" s="184" t="s">
        <v>13528</v>
      </c>
      <c r="K107" s="224"/>
      <c r="L107" s="224"/>
      <c r="M107" s="224"/>
      <c r="N107" s="224"/>
      <c r="O107" s="224" t="s">
        <v>16147</v>
      </c>
      <c r="P107" s="185"/>
      <c r="Q107" s="225"/>
      <c r="R107" s="182" t="str">
        <f ca="1">IF(ISERROR($V107),"",OFFSET('Smelter Look-up'!$C$4,$V107-4,0)&amp;"")</f>
        <v>Hangzhou Fuchunjiang Smelting Co., Ltd.</v>
      </c>
      <c r="S107" s="181" t="str">
        <f t="shared" ca="1" si="14"/>
        <v>CN</v>
      </c>
      <c r="T107" s="181" t="str">
        <f ca="1">IF(B107="","",IF(ISERROR(MATCH($J107,SorP!$B$1:$B$6226,0)),"",INDIRECT("'SorP'!$A$"&amp;MATCH($S107&amp;$J107,SorP!C:C,0))))</f>
        <v>CN-ZJ</v>
      </c>
      <c r="U107" s="201"/>
      <c r="V107" s="226">
        <f>IF(C107="",NA(),IF(OR(C107="Smelter not listed",C107="Smelter not yet identified"),MATCH($B107&amp;$D107,'Smelter Look-up'!$J:$J,0),MATCH($B107&amp;$C107,'Smelter Look-up'!$J:$J,0)))</f>
        <v>102</v>
      </c>
      <c r="X107" s="227">
        <f t="shared" si="15"/>
        <v>0</v>
      </c>
      <c r="AB107" s="228" t="str">
        <f t="shared" si="16"/>
        <v>GoldHangzhou Fuchunjiang Smelting Co., Ltd.</v>
      </c>
    </row>
    <row r="108" spans="1:28" s="227" customFormat="1" ht="20.25">
      <c r="A108" s="181" t="s">
        <v>16148</v>
      </c>
      <c r="B108" s="182" t="s">
        <v>1099</v>
      </c>
      <c r="C108" s="186" t="s">
        <v>16149</v>
      </c>
      <c r="D108" s="230" t="s">
        <v>16149</v>
      </c>
      <c r="E108" s="182" t="s">
        <v>1069</v>
      </c>
      <c r="F108" s="182" t="s">
        <v>16148</v>
      </c>
      <c r="G108" s="182" t="s">
        <v>13177</v>
      </c>
      <c r="H108" s="183" t="s">
        <v>15840</v>
      </c>
      <c r="I108" s="184" t="s">
        <v>15840</v>
      </c>
      <c r="J108" s="184" t="s">
        <v>15840</v>
      </c>
      <c r="K108" s="224"/>
      <c r="L108" s="224"/>
      <c r="M108" s="224"/>
      <c r="N108" s="224"/>
      <c r="O108" s="224"/>
      <c r="P108" s="185"/>
      <c r="Q108" s="225"/>
      <c r="R108" s="182" t="str">
        <f ca="1">IF(ISERROR($V108),"",OFFSET('Smelter Look-up'!$C$4,$V108-4,0)&amp;"")</f>
        <v/>
      </c>
      <c r="S108" s="181" t="str">
        <f t="shared" ca="1" si="14"/>
        <v>CN</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si="15"/>
        <v>0</v>
      </c>
      <c r="AB108" s="228" t="str">
        <f t="shared" si="16"/>
        <v>TinHezhou Jinwei Tin Co., Ltd.</v>
      </c>
    </row>
    <row r="109" spans="1:28" s="227" customFormat="1" ht="127.5">
      <c r="A109" s="181" t="s">
        <v>16150</v>
      </c>
      <c r="B109" s="182" t="s">
        <v>1101</v>
      </c>
      <c r="C109" s="186" t="s">
        <v>2166</v>
      </c>
      <c r="D109" s="230" t="s">
        <v>2166</v>
      </c>
      <c r="E109" s="182" t="s">
        <v>1069</v>
      </c>
      <c r="F109" s="182" t="s">
        <v>16150</v>
      </c>
      <c r="G109" s="182" t="s">
        <v>13177</v>
      </c>
      <c r="H109" s="183" t="s">
        <v>16151</v>
      </c>
      <c r="I109" s="184" t="s">
        <v>2089</v>
      </c>
      <c r="J109" s="184" t="s">
        <v>13535</v>
      </c>
      <c r="K109" s="224" t="s">
        <v>16152</v>
      </c>
      <c r="L109" s="224" t="s">
        <v>16153</v>
      </c>
      <c r="M109" s="224" t="s">
        <v>15886</v>
      </c>
      <c r="N109" s="224"/>
      <c r="O109" s="224" t="s">
        <v>16154</v>
      </c>
      <c r="P109" s="185" t="s">
        <v>476</v>
      </c>
      <c r="Q109" s="225"/>
      <c r="R109" s="182" t="str">
        <f ca="1">IF(ISERROR($V109),"",OFFSET('Smelter Look-up'!$C$4,$V109-4,0)&amp;"")</f>
        <v/>
      </c>
      <c r="S109" s="181" t="str">
        <f t="shared" ca="1" si="14"/>
        <v>CN</v>
      </c>
      <c r="T109" s="181" t="str">
        <f ca="1">IF(B109="","",IF(ISERROR(MATCH($J109,SorP!$B$1:$B$6226,0)),"",INDIRECT("'SorP'!$A$"&amp;MATCH($S109&amp;$J109,SorP!C:C,0))))</f>
        <v>CN-HN</v>
      </c>
      <c r="U109" s="201"/>
      <c r="V109" s="226" t="e">
        <f>IF(C109="",NA(),IF(OR(C109="Smelter not listed",C109="Smelter not yet identified"),MATCH($B109&amp;$D109,'Smelter Look-up'!$J:$J,0),MATCH($B109&amp;$C109,'Smelter Look-up'!$J:$J,0)))</f>
        <v>#N/A</v>
      </c>
      <c r="X109" s="227">
        <f t="shared" si="15"/>
        <v>0</v>
      </c>
      <c r="AB109" s="228" t="str">
        <f t="shared" si="16"/>
        <v>TungstenHunan Chenzhou Mining Co., Ltd.</v>
      </c>
    </row>
    <row r="110" spans="1:28" s="227" customFormat="1" ht="38.25">
      <c r="A110" s="181" t="s">
        <v>662</v>
      </c>
      <c r="B110" s="182" t="s">
        <v>1098</v>
      </c>
      <c r="C110" s="186" t="s">
        <v>2166</v>
      </c>
      <c r="D110" s="230" t="s">
        <v>2166</v>
      </c>
      <c r="E110" s="182" t="s">
        <v>1069</v>
      </c>
      <c r="F110" s="182" t="s">
        <v>662</v>
      </c>
      <c r="G110" s="182" t="s">
        <v>13177</v>
      </c>
      <c r="H110" s="183"/>
      <c r="I110" s="184" t="s">
        <v>2089</v>
      </c>
      <c r="J110" s="184" t="s">
        <v>13535</v>
      </c>
      <c r="K110" s="224"/>
      <c r="L110" s="224"/>
      <c r="M110" s="224"/>
      <c r="N110" s="224"/>
      <c r="O110" s="224" t="s">
        <v>16155</v>
      </c>
      <c r="P110" s="185"/>
      <c r="Q110" s="225"/>
      <c r="R110" s="182" t="str">
        <f ca="1">IF(ISERROR($V110),"",OFFSET('Smelter Look-up'!$C$4,$V110-4,0)&amp;"")</f>
        <v>Hunan Chenzhou Mining Co., Ltd.</v>
      </c>
      <c r="S110" s="181" t="str">
        <f t="shared" ca="1" si="14"/>
        <v>CN</v>
      </c>
      <c r="T110" s="181" t="str">
        <f ca="1">IF(B110="","",IF(ISERROR(MATCH($J110,SorP!$B$1:$B$6226,0)),"",INDIRECT("'SorP'!$A$"&amp;MATCH($S110&amp;$J110,SorP!C:C,0))))</f>
        <v>CN-HN</v>
      </c>
      <c r="U110" s="201"/>
      <c r="V110" s="226">
        <f>IF(C110="",NA(),IF(OR(C110="Smelter not listed",C110="Smelter not yet identified"),MATCH($B110&amp;$D110,'Smelter Look-up'!$J:$J,0),MATCH($B110&amp;$C110,'Smelter Look-up'!$J:$J,0)))</f>
        <v>112</v>
      </c>
      <c r="X110" s="227">
        <f t="shared" si="15"/>
        <v>0</v>
      </c>
      <c r="AB110" s="228" t="str">
        <f t="shared" si="16"/>
        <v>GoldHunan Chenzhou Mining Co., Ltd.</v>
      </c>
    </row>
    <row r="111" spans="1:28" s="227" customFormat="1" ht="76.5">
      <c r="A111" s="181" t="s">
        <v>772</v>
      </c>
      <c r="B111" s="182" t="s">
        <v>1101</v>
      </c>
      <c r="C111" s="186" t="s">
        <v>1346</v>
      </c>
      <c r="D111" s="230" t="s">
        <v>1346</v>
      </c>
      <c r="E111" s="182" t="s">
        <v>1069</v>
      </c>
      <c r="F111" s="182" t="s">
        <v>772</v>
      </c>
      <c r="G111" s="182" t="s">
        <v>13177</v>
      </c>
      <c r="H111" s="183"/>
      <c r="I111" s="184" t="s">
        <v>1702</v>
      </c>
      <c r="J111" s="184" t="s">
        <v>13535</v>
      </c>
      <c r="K111" s="224"/>
      <c r="L111" s="224"/>
      <c r="M111" s="224"/>
      <c r="N111" s="224"/>
      <c r="O111" s="224" t="s">
        <v>16156</v>
      </c>
      <c r="P111" s="185"/>
      <c r="Q111" s="225"/>
      <c r="R111" s="182" t="str">
        <f ca="1">IF(ISERROR($V111),"",OFFSET('Smelter Look-up'!$C$4,$V111-4,0)&amp;"")</f>
        <v>Hunan Jintai New Material Co., Ltd.</v>
      </c>
      <c r="S111" s="181" t="str">
        <f t="shared" ca="1" si="14"/>
        <v>CN</v>
      </c>
      <c r="T111" s="181" t="str">
        <f ca="1">IF(B111="","",IF(ISERROR(MATCH($J111,SorP!$B$1:$B$6226,0)),"",INDIRECT("'SorP'!$A$"&amp;MATCH($S111&amp;$J111,SorP!C:C,0))))</f>
        <v>CN-HN</v>
      </c>
      <c r="U111" s="201"/>
      <c r="V111" s="226">
        <f>IF(C111="",NA(),IF(OR(C111="Smelter not listed",C111="Smelter not yet identified"),MATCH($B111&amp;$D111,'Smelter Look-up'!$J:$J,0),MATCH($B111&amp;$C111,'Smelter Look-up'!$J:$J,0)))</f>
        <v>587</v>
      </c>
      <c r="X111" s="227">
        <f t="shared" si="15"/>
        <v>0</v>
      </c>
      <c r="AB111" s="228" t="str">
        <f t="shared" si="16"/>
        <v>TungstenHunan Chunchang Nonferrous Metals Co., Ltd.</v>
      </c>
    </row>
    <row r="112" spans="1:28" s="227" customFormat="1" ht="25.5">
      <c r="A112" s="181" t="s">
        <v>13114</v>
      </c>
      <c r="B112" s="182" t="s">
        <v>1098</v>
      </c>
      <c r="C112" s="186" t="s">
        <v>13113</v>
      </c>
      <c r="D112" s="230" t="s">
        <v>13113</v>
      </c>
      <c r="E112" s="182" t="s">
        <v>1069</v>
      </c>
      <c r="F112" s="182" t="s">
        <v>13114</v>
      </c>
      <c r="G112" s="182" t="s">
        <v>13177</v>
      </c>
      <c r="H112" s="183"/>
      <c r="I112" s="184" t="s">
        <v>1733</v>
      </c>
      <c r="J112" s="184" t="s">
        <v>13535</v>
      </c>
      <c r="K112" s="224"/>
      <c r="L112" s="224"/>
      <c r="M112" s="224"/>
      <c r="N112" s="224"/>
      <c r="O112" s="224" t="s">
        <v>16157</v>
      </c>
      <c r="P112" s="185"/>
      <c r="Q112" s="225"/>
      <c r="R112" s="182" t="str">
        <f ca="1">IF(ISERROR($V112),"",OFFSET('Smelter Look-up'!$C$4,$V112-4,0)&amp;"")</f>
        <v>Hunan Guiyang yinxing Nonferrous Smelting Co., Ltd.</v>
      </c>
      <c r="S112" s="181" t="str">
        <f t="shared" ca="1" si="14"/>
        <v>CN</v>
      </c>
      <c r="T112" s="181" t="str">
        <f ca="1">IF(B112="","",IF(ISERROR(MATCH($J112,SorP!$B$1:$B$6226,0)),"",INDIRECT("'SorP'!$A$"&amp;MATCH($S112&amp;$J112,SorP!C:C,0))))</f>
        <v>CN-HN</v>
      </c>
      <c r="U112" s="201"/>
      <c r="V112" s="226">
        <f>IF(C112="",NA(),IF(OR(C112="Smelter not listed",C112="Smelter not yet identified"),MATCH($B112&amp;$D112,'Smelter Look-up'!$J:$J,0),MATCH($B112&amp;$C112,'Smelter Look-up'!$J:$J,0)))</f>
        <v>115</v>
      </c>
      <c r="X112" s="227">
        <f t="shared" si="15"/>
        <v>0</v>
      </c>
      <c r="AB112" s="228" t="str">
        <f t="shared" si="16"/>
        <v>GoldHunan Guiyang yinxing Nonferrous Smelting Co., Ltd.</v>
      </c>
    </row>
    <row r="113" spans="1:28" s="227" customFormat="1" ht="102">
      <c r="A113" s="181" t="s">
        <v>16158</v>
      </c>
      <c r="B113" s="182" t="s">
        <v>1100</v>
      </c>
      <c r="C113" s="186" t="s">
        <v>16159</v>
      </c>
      <c r="D113" s="230" t="s">
        <v>16159</v>
      </c>
      <c r="E113" s="182" t="s">
        <v>1069</v>
      </c>
      <c r="F113" s="182" t="s">
        <v>16158</v>
      </c>
      <c r="G113" s="182" t="s">
        <v>13177</v>
      </c>
      <c r="H113" s="183" t="s">
        <v>16160</v>
      </c>
      <c r="I113" s="184" t="s">
        <v>16161</v>
      </c>
      <c r="J113" s="184" t="s">
        <v>13536</v>
      </c>
      <c r="K113" s="224" t="s">
        <v>16162</v>
      </c>
      <c r="L113" s="224" t="s">
        <v>16163</v>
      </c>
      <c r="M113" s="224"/>
      <c r="N113" s="224"/>
      <c r="O113" s="224" t="s">
        <v>16164</v>
      </c>
      <c r="P113" s="185" t="s">
        <v>476</v>
      </c>
      <c r="Q113" s="225"/>
      <c r="R113" s="182" t="str">
        <f ca="1">IF(ISERROR($V113),"",OFFSET('Smelter Look-up'!$C$4,$V113-4,0)&amp;"")</f>
        <v/>
      </c>
      <c r="S113" s="181" t="str">
        <f t="shared" ca="1" si="14"/>
        <v>CN</v>
      </c>
      <c r="T113" s="181" t="str">
        <f ca="1">IF(B113="","",IF(ISERROR(MATCH($J113,SorP!$B$1:$B$6226,0)),"",INDIRECT("'SorP'!$A$"&amp;MATCH($S113&amp;$J113,SorP!C:C,0))))</f>
        <v>CN-GD</v>
      </c>
      <c r="U113" s="201"/>
      <c r="V113" s="226" t="e">
        <f>IF(C113="",NA(),IF(OR(C113="Smelter not listed",C113="Smelter not yet identified"),MATCH($B113&amp;$D113,'Smelter Look-up'!$J:$J,0),MATCH($B113&amp;$C113,'Smelter Look-up'!$J:$J,0)))</f>
        <v>#N/A</v>
      </c>
      <c r="X113" s="227">
        <f t="shared" si="15"/>
        <v>0</v>
      </c>
      <c r="AB113" s="228" t="str">
        <f t="shared" si="16"/>
        <v>TantalumXinXing HaoRong Electronic Material Co., Ltd.</v>
      </c>
    </row>
    <row r="114" spans="1:28" s="227" customFormat="1" ht="25.5">
      <c r="A114" s="181" t="s">
        <v>16165</v>
      </c>
      <c r="B114" s="182" t="s">
        <v>1099</v>
      </c>
      <c r="C114" s="186" t="s">
        <v>16166</v>
      </c>
      <c r="D114" s="230" t="s">
        <v>16166</v>
      </c>
      <c r="E114" s="182" t="s">
        <v>1069</v>
      </c>
      <c r="F114" s="182" t="s">
        <v>16165</v>
      </c>
      <c r="G114" s="182" t="s">
        <v>13177</v>
      </c>
      <c r="H114" s="183" t="s">
        <v>15840</v>
      </c>
      <c r="I114" s="184" t="s">
        <v>15840</v>
      </c>
      <c r="J114" s="184" t="s">
        <v>15840</v>
      </c>
      <c r="K114" s="224"/>
      <c r="L114" s="224"/>
      <c r="M114" s="224"/>
      <c r="N114" s="224"/>
      <c r="O114" s="224"/>
      <c r="P114" s="185"/>
      <c r="Q114" s="225"/>
      <c r="R114" s="182" t="str">
        <f ca="1">IF(ISERROR($V114),"",OFFSET('Smelter Look-up'!$C$4,$V114-4,0)&amp;"")</f>
        <v/>
      </c>
      <c r="S114" s="181" t="str">
        <f t="shared" ca="1" si="14"/>
        <v>CN</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si="15"/>
        <v>0</v>
      </c>
      <c r="AB114" s="228" t="str">
        <f t="shared" si="16"/>
        <v>TinJiang Xi Jia Wang Technology Tin Products Environmental Ltd.</v>
      </c>
    </row>
    <row r="115" spans="1:28" s="227" customFormat="1" ht="229.5">
      <c r="A115" s="181" t="s">
        <v>16167</v>
      </c>
      <c r="B115" s="182" t="s">
        <v>1101</v>
      </c>
      <c r="C115" s="186" t="s">
        <v>16168</v>
      </c>
      <c r="D115" s="230" t="s">
        <v>16168</v>
      </c>
      <c r="E115" s="182" t="s">
        <v>1069</v>
      </c>
      <c r="F115" s="182" t="s">
        <v>16167</v>
      </c>
      <c r="G115" s="182" t="s">
        <v>13177</v>
      </c>
      <c r="H115" s="183"/>
      <c r="I115" s="184" t="s">
        <v>1732</v>
      </c>
      <c r="J115" s="184" t="s">
        <v>13531</v>
      </c>
      <c r="K115" s="224"/>
      <c r="L115" s="224"/>
      <c r="M115" s="224"/>
      <c r="N115" s="224"/>
      <c r="O115" s="224" t="s">
        <v>16169</v>
      </c>
      <c r="P115" s="185"/>
      <c r="Q115" s="225"/>
      <c r="R115" s="182" t="str">
        <f ca="1">IF(ISERROR($V115),"",OFFSET('Smelter Look-up'!$C$4,$V115-4,0)&amp;"")</f>
        <v/>
      </c>
      <c r="S115" s="181" t="str">
        <f t="shared" ca="1" si="14"/>
        <v>CN</v>
      </c>
      <c r="T115" s="181" t="str">
        <f ca="1">IF(B115="","",IF(ISERROR(MATCH($J115,SorP!$B$1:$B$6226,0)),"",INDIRECT("'SorP'!$A$"&amp;MATCH($S115&amp;$J115,SorP!C:C,0))))</f>
        <v>CN-JX</v>
      </c>
      <c r="U115" s="201"/>
      <c r="V115" s="226" t="e">
        <f>IF(C115="",NA(),IF(OR(C115="Smelter not listed",C115="Smelter not yet identified"),MATCH($B115&amp;$D115,'Smelter Look-up'!$J:$J,0),MATCH($B115&amp;$C115,'Smelter Look-up'!$J:$J,0)))</f>
        <v>#N/A</v>
      </c>
      <c r="X115" s="227">
        <f t="shared" si="15"/>
        <v>0</v>
      </c>
      <c r="AB115" s="228" t="str">
        <f t="shared" si="16"/>
        <v>TungstenGanzhou Huaxing Tungsten Products Co., Ltd.</v>
      </c>
    </row>
    <row r="116" spans="1:28" s="227" customFormat="1" ht="20.25">
      <c r="A116" s="181" t="s">
        <v>16170</v>
      </c>
      <c r="B116" s="182" t="s">
        <v>1098</v>
      </c>
      <c r="C116" s="186" t="s">
        <v>16171</v>
      </c>
      <c r="D116" s="230" t="s">
        <v>16171</v>
      </c>
      <c r="E116" s="182" t="s">
        <v>1069</v>
      </c>
      <c r="F116" s="182" t="s">
        <v>16170</v>
      </c>
      <c r="G116" s="182" t="s">
        <v>13177</v>
      </c>
      <c r="H116" s="183" t="s">
        <v>15840</v>
      </c>
      <c r="I116" s="184" t="s">
        <v>15840</v>
      </c>
      <c r="J116" s="184" t="s">
        <v>15840</v>
      </c>
      <c r="K116" s="224"/>
      <c r="L116" s="224"/>
      <c r="M116" s="224"/>
      <c r="N116" s="224"/>
      <c r="O116" s="224"/>
      <c r="P116" s="185"/>
      <c r="Q116" s="225"/>
      <c r="R116" s="182" t="str">
        <f ca="1">IF(ISERROR($V116),"",OFFSET('Smelter Look-up'!$C$4,$V116-4,0)&amp;"")</f>
        <v/>
      </c>
      <c r="S116" s="181" t="str">
        <f t="shared" ca="1" si="14"/>
        <v>CN</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si="15"/>
        <v>0</v>
      </c>
      <c r="AB116" s="228" t="str">
        <f t="shared" si="16"/>
        <v>GoldJinlong Copper Co., Ltd.</v>
      </c>
    </row>
    <row r="117" spans="1:28" s="227" customFormat="1" ht="102">
      <c r="A117" s="181" t="s">
        <v>750</v>
      </c>
      <c r="B117" s="182" t="s">
        <v>1099</v>
      </c>
      <c r="C117" s="186" t="s">
        <v>1389</v>
      </c>
      <c r="D117" s="230" t="s">
        <v>1389</v>
      </c>
      <c r="E117" s="182" t="s">
        <v>1069</v>
      </c>
      <c r="F117" s="182" t="s">
        <v>750</v>
      </c>
      <c r="G117" s="182" t="s">
        <v>13177</v>
      </c>
      <c r="H117" s="183"/>
      <c r="I117" s="184" t="s">
        <v>2398</v>
      </c>
      <c r="J117" s="184" t="s">
        <v>13540</v>
      </c>
      <c r="K117" s="224"/>
      <c r="L117" s="224"/>
      <c r="M117" s="224"/>
      <c r="N117" s="224"/>
      <c r="O117" s="224" t="s">
        <v>16172</v>
      </c>
      <c r="P117" s="185"/>
      <c r="Q117" s="225"/>
      <c r="R117" s="182" t="str">
        <f ca="1">IF(ISERROR($V117),"",OFFSET('Smelter Look-up'!$C$4,$V117-4,0)&amp;"")</f>
        <v>Gejiu Kai Meng Industry and Trade LLC</v>
      </c>
      <c r="S117" s="181" t="str">
        <f t="shared" ca="1" si="14"/>
        <v>CN</v>
      </c>
      <c r="T117" s="181" t="str">
        <f ca="1">IF(B117="","",IF(ISERROR(MATCH($J117,SorP!$B$1:$B$6226,0)),"",INDIRECT("'SorP'!$A$"&amp;MATCH($S117&amp;$J117,SorP!C:C,0))))</f>
        <v>CN-YN</v>
      </c>
      <c r="U117" s="201"/>
      <c r="V117" s="226">
        <f>IF(C117="",NA(),IF(OR(C117="Smelter not listed",C117="Smelter not yet identified"),MATCH($B117&amp;$D117,'Smelter Look-up'!$J:$J,0),MATCH($B117&amp;$C117,'Smelter Look-up'!$J:$J,0)))</f>
        <v>442</v>
      </c>
      <c r="X117" s="227">
        <f t="shared" si="15"/>
        <v>0</v>
      </c>
      <c r="AB117" s="228" t="str">
        <f t="shared" si="16"/>
        <v>TinGejiu Kai Meng Industry and Trade LLC</v>
      </c>
    </row>
    <row r="118" spans="1:28" s="227" customFormat="1" ht="25.5">
      <c r="A118" s="181" t="s">
        <v>1355</v>
      </c>
      <c r="B118" s="182" t="s">
        <v>1098</v>
      </c>
      <c r="C118" s="186" t="s">
        <v>2256</v>
      </c>
      <c r="D118" s="230" t="s">
        <v>2256</v>
      </c>
      <c r="E118" s="182" t="s">
        <v>1069</v>
      </c>
      <c r="F118" s="182" t="s">
        <v>1355</v>
      </c>
      <c r="G118" s="182" t="s">
        <v>13177</v>
      </c>
      <c r="H118" s="183"/>
      <c r="I118" s="184" t="s">
        <v>1578</v>
      </c>
      <c r="J118" s="184" t="s">
        <v>13533</v>
      </c>
      <c r="K118" s="224"/>
      <c r="L118" s="224"/>
      <c r="M118" s="224"/>
      <c r="N118" s="224"/>
      <c r="O118" s="224" t="s">
        <v>16173</v>
      </c>
      <c r="P118" s="185"/>
      <c r="Q118" s="225"/>
      <c r="R118" s="182" t="str">
        <f ca="1">IF(ISERROR($V118),"",OFFSET('Smelter Look-up'!$C$4,$V118-4,0)&amp;"")</f>
        <v>Lingbao Gold Co., Ltd.</v>
      </c>
      <c r="S118" s="181" t="str">
        <f t="shared" ca="1" si="14"/>
        <v>CN</v>
      </c>
      <c r="T118" s="181" t="str">
        <f ca="1">IF(B118="","",IF(ISERROR(MATCH($J118,SorP!$B$1:$B$6226,0)),"",INDIRECT("'SorP'!$A$"&amp;MATCH($S118&amp;$J118,SorP!C:C,0))))</f>
        <v>CN-HA</v>
      </c>
      <c r="U118" s="201"/>
      <c r="V118" s="226">
        <f>IF(C118="",NA(),IF(OR(C118="Smelter not listed",C118="Smelter not yet identified"),MATCH($B118&amp;$D118,'Smelter Look-up'!$J:$J,0),MATCH($B118&amp;$C118,'Smelter Look-up'!$J:$J,0)))</f>
        <v>160</v>
      </c>
      <c r="X118" s="227">
        <f t="shared" si="15"/>
        <v>0</v>
      </c>
      <c r="AB118" s="228" t="str">
        <f t="shared" si="16"/>
        <v>GoldLingbao Gold Co., Ltd.</v>
      </c>
    </row>
    <row r="119" spans="1:28" s="227" customFormat="1" ht="25.5">
      <c r="A119" s="181" t="s">
        <v>680</v>
      </c>
      <c r="B119" s="182" t="s">
        <v>1098</v>
      </c>
      <c r="C119" s="186" t="s">
        <v>2103</v>
      </c>
      <c r="D119" s="230" t="s">
        <v>2103</v>
      </c>
      <c r="E119" s="182" t="s">
        <v>1069</v>
      </c>
      <c r="F119" s="182" t="s">
        <v>680</v>
      </c>
      <c r="G119" s="182" t="s">
        <v>13177</v>
      </c>
      <c r="H119" s="183"/>
      <c r="I119" s="184" t="s">
        <v>1578</v>
      </c>
      <c r="J119" s="184" t="s">
        <v>13533</v>
      </c>
      <c r="K119" s="224"/>
      <c r="L119" s="224"/>
      <c r="M119" s="224"/>
      <c r="N119" s="224"/>
      <c r="O119" s="224" t="s">
        <v>15948</v>
      </c>
      <c r="P119" s="185"/>
      <c r="Q119" s="225"/>
      <c r="R119" s="182" t="str">
        <f ca="1">IF(ISERROR($V119),"",OFFSET('Smelter Look-up'!$C$4,$V119-4,0)&amp;"")</f>
        <v>Lingbao Jinyuan Tonghui Refinery Co., Ltd.</v>
      </c>
      <c r="S119" s="181" t="str">
        <f t="shared" ca="1" si="14"/>
        <v>CN</v>
      </c>
      <c r="T119" s="181" t="str">
        <f ca="1">IF(B119="","",IF(ISERROR(MATCH($J119,SorP!$B$1:$B$6226,0)),"",INDIRECT("'SorP'!$A$"&amp;MATCH($S119&amp;$J119,SorP!C:C,0))))</f>
        <v>CN-HA</v>
      </c>
      <c r="U119" s="201"/>
      <c r="V119" s="226">
        <f>IF(C119="",NA(),IF(OR(C119="Smelter not listed",C119="Smelter not yet identified"),MATCH($B119&amp;$D119,'Smelter Look-up'!$J:$J,0),MATCH($B119&amp;$C119,'Smelter Look-up'!$J:$J,0)))</f>
        <v>161</v>
      </c>
      <c r="X119" s="227">
        <f t="shared" si="15"/>
        <v>0</v>
      </c>
      <c r="AB119" s="228" t="str">
        <f t="shared" si="16"/>
        <v>GoldLingbao Jinyuan Tonghui Refinery Co., Ltd.</v>
      </c>
    </row>
    <row r="120" spans="1:28" s="227" customFormat="1" ht="63.75">
      <c r="A120" s="181" t="s">
        <v>683</v>
      </c>
      <c r="B120" s="182" t="s">
        <v>1098</v>
      </c>
      <c r="C120" s="186" t="s">
        <v>1580</v>
      </c>
      <c r="D120" s="230" t="s">
        <v>1580</v>
      </c>
      <c r="E120" s="182" t="s">
        <v>1069</v>
      </c>
      <c r="F120" s="182" t="s">
        <v>683</v>
      </c>
      <c r="G120" s="182" t="s">
        <v>13177</v>
      </c>
      <c r="H120" s="183"/>
      <c r="I120" s="184" t="s">
        <v>1581</v>
      </c>
      <c r="J120" s="184" t="s">
        <v>13533</v>
      </c>
      <c r="K120" s="224"/>
      <c r="L120" s="224"/>
      <c r="M120" s="224"/>
      <c r="N120" s="224"/>
      <c r="O120" s="224" t="s">
        <v>16174</v>
      </c>
      <c r="P120" s="185"/>
      <c r="Q120" s="225"/>
      <c r="R120" s="182" t="str">
        <f ca="1">IF(ISERROR($V120),"",OFFSET('Smelter Look-up'!$C$4,$V120-4,0)&amp;"")</f>
        <v>Luoyang Zijin Yinhui Gold Refinery Co., Ltd.</v>
      </c>
      <c r="S120" s="181" t="str">
        <f t="shared" ca="1" si="14"/>
        <v>CN</v>
      </c>
      <c r="T120" s="181" t="str">
        <f ca="1">IF(B120="","",IF(ISERROR(MATCH($J120,SorP!$B$1:$B$6226,0)),"",INDIRECT("'SorP'!$A$"&amp;MATCH($S120&amp;$J120,SorP!C:C,0))))</f>
        <v>CN-HA</v>
      </c>
      <c r="U120" s="201"/>
      <c r="V120" s="226">
        <f>IF(C120="",NA(),IF(OR(C120="Smelter not listed",C120="Smelter not yet identified"),MATCH($B120&amp;$D120,'Smelter Look-up'!$J:$J,0),MATCH($B120&amp;$C120,'Smelter Look-up'!$J:$J,0)))</f>
        <v>165</v>
      </c>
      <c r="X120" s="227">
        <f t="shared" si="15"/>
        <v>0</v>
      </c>
      <c r="AB120" s="228" t="str">
        <f t="shared" si="16"/>
        <v>GoldLuoyang Zijin Yinhui Gold Refinery Co., Ltd.</v>
      </c>
    </row>
    <row r="121" spans="1:28" s="227" customFormat="1" ht="25.5">
      <c r="A121" s="181" t="s">
        <v>16175</v>
      </c>
      <c r="B121" s="182" t="s">
        <v>1099</v>
      </c>
      <c r="C121" s="186" t="s">
        <v>16176</v>
      </c>
      <c r="D121" s="230" t="s">
        <v>16176</v>
      </c>
      <c r="E121" s="182" t="s">
        <v>1069</v>
      </c>
      <c r="F121" s="182" t="s">
        <v>16175</v>
      </c>
      <c r="G121" s="182" t="s">
        <v>13177</v>
      </c>
      <c r="H121" s="183" t="s">
        <v>15840</v>
      </c>
      <c r="I121" s="184" t="s">
        <v>15840</v>
      </c>
      <c r="J121" s="184" t="s">
        <v>15840</v>
      </c>
      <c r="K121" s="224"/>
      <c r="L121" s="224"/>
      <c r="M121" s="224"/>
      <c r="N121" s="224"/>
      <c r="O121" s="224"/>
      <c r="P121" s="185"/>
      <c r="Q121" s="225"/>
      <c r="R121" s="182" t="str">
        <f ca="1">IF(ISERROR($V121),"",OFFSET('Smelter Look-up'!$C$4,$V121-4,0)&amp;"")</f>
        <v/>
      </c>
      <c r="S121" s="181" t="str">
        <f t="shared" ca="1" si="14"/>
        <v>CN</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si="15"/>
        <v>0</v>
      </c>
      <c r="AB121" s="228" t="str">
        <f t="shared" si="16"/>
        <v>TinMa An Shan Shu Guang Smelter Corp.</v>
      </c>
    </row>
    <row r="122" spans="1:28" s="227" customFormat="1" ht="20.25">
      <c r="A122" s="181" t="s">
        <v>16177</v>
      </c>
      <c r="B122" s="182" t="s">
        <v>1099</v>
      </c>
      <c r="C122" s="186" t="s">
        <v>16178</v>
      </c>
      <c r="D122" s="230" t="s">
        <v>16178</v>
      </c>
      <c r="E122" s="182" t="s">
        <v>1069</v>
      </c>
      <c r="F122" s="182" t="s">
        <v>16177</v>
      </c>
      <c r="G122" s="182" t="s">
        <v>13177</v>
      </c>
      <c r="H122" s="183" t="s">
        <v>15840</v>
      </c>
      <c r="I122" s="184" t="s">
        <v>15840</v>
      </c>
      <c r="J122" s="184" t="s">
        <v>15840</v>
      </c>
      <c r="K122" s="224"/>
      <c r="L122" s="224"/>
      <c r="M122" s="224"/>
      <c r="N122" s="224"/>
      <c r="O122" s="224"/>
      <c r="P122" s="185"/>
      <c r="Q122" s="225"/>
      <c r="R122" s="182" t="str">
        <f ca="1">IF(ISERROR($V122),"",OFFSET('Smelter Look-up'!$C$4,$V122-4,0)&amp;"")</f>
        <v/>
      </c>
      <c r="S122" s="181" t="str">
        <f t="shared" ca="1" si="14"/>
        <v>CN</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si="15"/>
        <v>0</v>
      </c>
      <c r="AB122" s="228" t="str">
        <f t="shared" si="16"/>
        <v>TinMing Li Jia smelt Metal Factory</v>
      </c>
    </row>
    <row r="123" spans="1:28" s="227" customFormat="1" ht="20.25">
      <c r="A123" s="181" t="s">
        <v>16179</v>
      </c>
      <c r="B123" s="182" t="s">
        <v>1101</v>
      </c>
      <c r="C123" s="186" t="s">
        <v>16180</v>
      </c>
      <c r="D123" s="230" t="s">
        <v>16180</v>
      </c>
      <c r="E123" s="182" t="s">
        <v>1069</v>
      </c>
      <c r="F123" s="182" t="s">
        <v>16179</v>
      </c>
      <c r="G123" s="182" t="s">
        <v>13177</v>
      </c>
      <c r="H123" s="183" t="s">
        <v>15840</v>
      </c>
      <c r="I123" s="184" t="s">
        <v>15840</v>
      </c>
      <c r="J123" s="184" t="s">
        <v>15840</v>
      </c>
      <c r="K123" s="224"/>
      <c r="L123" s="224"/>
      <c r="M123" s="224"/>
      <c r="N123" s="224"/>
      <c r="O123" s="224"/>
      <c r="P123" s="185"/>
      <c r="Q123" s="225"/>
      <c r="R123" s="182" t="str">
        <f ca="1">IF(ISERROR($V123),"",OFFSET('Smelter Look-up'!$C$4,$V123-4,0)&amp;"")</f>
        <v/>
      </c>
      <c r="S123" s="181" t="str">
        <f t="shared" ca="1" si="14"/>
        <v>CN</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si="15"/>
        <v>0</v>
      </c>
      <c r="AB123" s="228" t="str">
        <f t="shared" si="16"/>
        <v>TungstenMinmetals Ganzhou Tin Co. Ltd.</v>
      </c>
    </row>
    <row r="124" spans="1:28" s="227" customFormat="1" ht="25.5">
      <c r="A124" s="181" t="s">
        <v>16181</v>
      </c>
      <c r="B124" s="182" t="s">
        <v>1101</v>
      </c>
      <c r="C124" s="186" t="s">
        <v>1805</v>
      </c>
      <c r="D124" s="230" t="s">
        <v>999</v>
      </c>
      <c r="E124" s="182" t="s">
        <v>1069</v>
      </c>
      <c r="F124" s="182" t="s">
        <v>16181</v>
      </c>
      <c r="G124" s="182" t="s">
        <v>13177</v>
      </c>
      <c r="H124" s="183" t="s">
        <v>15840</v>
      </c>
      <c r="I124" s="184" t="s">
        <v>15840</v>
      </c>
      <c r="J124" s="184" t="s">
        <v>15840</v>
      </c>
      <c r="K124" s="224"/>
      <c r="L124" s="224"/>
      <c r="M124" s="224"/>
      <c r="N124" s="224"/>
      <c r="O124" s="224"/>
      <c r="P124" s="185"/>
      <c r="Q124" s="225"/>
      <c r="R124" s="182" t="str">
        <f ca="1">IF(ISERROR($V124),"",OFFSET('Smelter Look-up'!$C$4,$V124-4,0)&amp;"")</f>
        <v/>
      </c>
      <c r="S124" s="181" t="str">
        <f t="shared" ca="1" si="14"/>
        <v>CN</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si="15"/>
        <v>0</v>
      </c>
      <c r="AB124" s="228" t="str">
        <f t="shared" si="16"/>
        <v>TungstenSmelter not listed</v>
      </c>
    </row>
    <row r="125" spans="1:28" s="227" customFormat="1" ht="25.5">
      <c r="A125" s="181" t="s">
        <v>700</v>
      </c>
      <c r="B125" s="182" t="s">
        <v>1098</v>
      </c>
      <c r="C125" s="186" t="s">
        <v>2111</v>
      </c>
      <c r="D125" s="230" t="s">
        <v>2111</v>
      </c>
      <c r="E125" s="182" t="s">
        <v>1069</v>
      </c>
      <c r="F125" s="182" t="s">
        <v>700</v>
      </c>
      <c r="G125" s="182" t="s">
        <v>13177</v>
      </c>
      <c r="H125" s="183"/>
      <c r="I125" s="184" t="s">
        <v>2430</v>
      </c>
      <c r="J125" s="184" t="s">
        <v>13532</v>
      </c>
      <c r="K125" s="224"/>
      <c r="L125" s="224"/>
      <c r="M125" s="224"/>
      <c r="N125" s="224"/>
      <c r="O125" s="224" t="s">
        <v>15948</v>
      </c>
      <c r="P125" s="185"/>
      <c r="Q125" s="225"/>
      <c r="R125" s="182" t="str">
        <f ca="1">IF(ISERROR($V125),"",OFFSET('Smelter Look-up'!$C$4,$V125-4,0)&amp;"")</f>
        <v>Penglai Penggang Gold Industry Co., Ltd.</v>
      </c>
      <c r="S125" s="181" t="str">
        <f t="shared" ca="1" si="14"/>
        <v>CN</v>
      </c>
      <c r="T125" s="181" t="str">
        <f ca="1">IF(B125="","",IF(ISERROR(MATCH($J125,SorP!$B$1:$B$6226,0)),"",INDIRECT("'SorP'!$A$"&amp;MATCH($S125&amp;$J125,SorP!C:C,0))))</f>
        <v>CN-SD</v>
      </c>
      <c r="U125" s="201"/>
      <c r="V125" s="226">
        <f>IF(C125="",NA(),IF(OR(C125="Smelter not listed",C125="Smelter not yet identified"),MATCH($B125&amp;$D125,'Smelter Look-up'!$J:$J,0),MATCH($B125&amp;$C125,'Smelter Look-up'!$J:$J,0)))</f>
        <v>214</v>
      </c>
      <c r="X125" s="227">
        <f t="shared" si="15"/>
        <v>0</v>
      </c>
      <c r="AB125" s="228" t="str">
        <f t="shared" si="16"/>
        <v>GoldPenglai Penggang Gold Industry Co., Ltd.</v>
      </c>
    </row>
    <row r="126" spans="1:28" s="227" customFormat="1" ht="25.5">
      <c r="A126" s="181" t="s">
        <v>16182</v>
      </c>
      <c r="B126" s="182" t="s">
        <v>1098</v>
      </c>
      <c r="C126" s="186" t="s">
        <v>1805</v>
      </c>
      <c r="D126" s="230" t="s">
        <v>16183</v>
      </c>
      <c r="E126" s="182" t="s">
        <v>1069</v>
      </c>
      <c r="F126" s="182" t="s">
        <v>16182</v>
      </c>
      <c r="G126" s="182" t="s">
        <v>13177</v>
      </c>
      <c r="H126" s="183" t="s">
        <v>15840</v>
      </c>
      <c r="I126" s="184" t="s">
        <v>15840</v>
      </c>
      <c r="J126" s="184" t="s">
        <v>15840</v>
      </c>
      <c r="K126" s="224"/>
      <c r="L126" s="224"/>
      <c r="M126" s="224"/>
      <c r="N126" s="224"/>
      <c r="O126" s="224"/>
      <c r="P126" s="185"/>
      <c r="Q126" s="225"/>
      <c r="R126" s="182" t="str">
        <f ca="1">IF(ISERROR($V126),"",OFFSET('Smelter Look-up'!$C$4,$V126-4,0)&amp;"")</f>
        <v/>
      </c>
      <c r="S126" s="181" t="str">
        <f t="shared" ca="1" si="14"/>
        <v>CN</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si="15"/>
        <v>0</v>
      </c>
      <c r="AB126" s="228" t="str">
        <f t="shared" si="16"/>
        <v>GoldSmelter not listed</v>
      </c>
    </row>
    <row r="127" spans="1:28" s="227" customFormat="1" ht="25.5">
      <c r="A127" s="181" t="s">
        <v>16184</v>
      </c>
      <c r="B127" s="182" t="s">
        <v>1099</v>
      </c>
      <c r="C127" s="186" t="s">
        <v>1805</v>
      </c>
      <c r="D127" s="230" t="s">
        <v>16183</v>
      </c>
      <c r="E127" s="182" t="s">
        <v>1069</v>
      </c>
      <c r="F127" s="182" t="s">
        <v>16184</v>
      </c>
      <c r="G127" s="182" t="s">
        <v>13177</v>
      </c>
      <c r="H127" s="183" t="s">
        <v>15840</v>
      </c>
      <c r="I127" s="184" t="s">
        <v>15840</v>
      </c>
      <c r="J127" s="184" t="s">
        <v>15840</v>
      </c>
      <c r="K127" s="224"/>
      <c r="L127" s="224"/>
      <c r="M127" s="224"/>
      <c r="N127" s="224"/>
      <c r="O127" s="224"/>
      <c r="P127" s="185"/>
      <c r="Q127" s="225"/>
      <c r="R127" s="182" t="str">
        <f ca="1">IF(ISERROR($V127),"",OFFSET('Smelter Look-up'!$C$4,$V127-4,0)&amp;"")</f>
        <v/>
      </c>
      <c r="S127" s="181" t="str">
        <f t="shared" ca="1" si="14"/>
        <v>CN</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si="15"/>
        <v>0</v>
      </c>
      <c r="AB127" s="228" t="str">
        <f t="shared" si="16"/>
        <v>TinSmelter not listed</v>
      </c>
    </row>
    <row r="128" spans="1:28" s="227" customFormat="1" ht="25.5">
      <c r="A128" s="181" t="s">
        <v>16185</v>
      </c>
      <c r="B128" s="182" t="s">
        <v>1098</v>
      </c>
      <c r="C128" s="186" t="s">
        <v>16186</v>
      </c>
      <c r="D128" s="230" t="s">
        <v>16186</v>
      </c>
      <c r="E128" s="182" t="s">
        <v>1069</v>
      </c>
      <c r="F128" s="182" t="s">
        <v>16185</v>
      </c>
      <c r="G128" s="182" t="s">
        <v>13177</v>
      </c>
      <c r="H128" s="183" t="s">
        <v>15840</v>
      </c>
      <c r="I128" s="184" t="s">
        <v>15840</v>
      </c>
      <c r="J128" s="184" t="s">
        <v>15840</v>
      </c>
      <c r="K128" s="224"/>
      <c r="L128" s="224"/>
      <c r="M128" s="224"/>
      <c r="N128" s="224"/>
      <c r="O128" s="224"/>
      <c r="P128" s="185"/>
      <c r="Q128" s="225"/>
      <c r="R128" s="182" t="str">
        <f ca="1">IF(ISERROR($V128),"",OFFSET('Smelter Look-up'!$C$4,$V128-4,0)&amp;"")</f>
        <v/>
      </c>
      <c r="S128" s="181" t="str">
        <f t="shared" ca="1" si="14"/>
        <v>CN</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si="15"/>
        <v>0</v>
      </c>
      <c r="AB128" s="228" t="str">
        <f t="shared" si="16"/>
        <v>GoldShandong Hengbang Smelter Co., Ltd.</v>
      </c>
    </row>
    <row r="129" spans="1:28" s="227" customFormat="1" ht="25.5">
      <c r="A129" s="181" t="s">
        <v>1620</v>
      </c>
      <c r="B129" s="182" t="s">
        <v>1098</v>
      </c>
      <c r="C129" s="186" t="s">
        <v>1619</v>
      </c>
      <c r="D129" s="230" t="s">
        <v>1619</v>
      </c>
      <c r="E129" s="182" t="s">
        <v>1069</v>
      </c>
      <c r="F129" s="182" t="s">
        <v>1620</v>
      </c>
      <c r="G129" s="182" t="s">
        <v>13177</v>
      </c>
      <c r="H129" s="183"/>
      <c r="I129" s="184" t="s">
        <v>1621</v>
      </c>
      <c r="J129" s="184" t="s">
        <v>13532</v>
      </c>
      <c r="K129" s="224"/>
      <c r="L129" s="224"/>
      <c r="M129" s="224"/>
      <c r="N129" s="224"/>
      <c r="O129" s="224" t="s">
        <v>16187</v>
      </c>
      <c r="P129" s="185"/>
      <c r="Q129" s="225"/>
      <c r="R129" s="182" t="str">
        <f ca="1">IF(ISERROR($V129),"",OFFSET('Smelter Look-up'!$C$4,$V129-4,0)&amp;"")</f>
        <v>Shandong Tiancheng Biological Gold Industrial Co., Ltd.</v>
      </c>
      <c r="S129" s="181" t="str">
        <f t="shared" ca="1" si="14"/>
        <v>CN</v>
      </c>
      <c r="T129" s="181" t="str">
        <f ca="1">IF(B129="","",IF(ISERROR(MATCH($J129,SorP!$B$1:$B$6226,0)),"",INDIRECT("'SorP'!$A$"&amp;MATCH($S129&amp;$J129,SorP!C:C,0))))</f>
        <v>CN-SD</v>
      </c>
      <c r="U129" s="201"/>
      <c r="V129" s="226">
        <f>IF(C129="",NA(),IF(OR(C129="Smelter not listed",C129="Smelter not yet identified"),MATCH($B129&amp;$D129,'Smelter Look-up'!$J:$J,0),MATCH($B129&amp;$C129,'Smelter Look-up'!$J:$J,0)))</f>
        <v>253</v>
      </c>
      <c r="X129" s="227">
        <f t="shared" si="15"/>
        <v>0</v>
      </c>
      <c r="AB129" s="228" t="str">
        <f t="shared" si="16"/>
        <v>GoldShandong Tiancheng Biological Gold Industrial Co., Ltd.</v>
      </c>
    </row>
    <row r="130" spans="1:28" s="227" customFormat="1" ht="20.25">
      <c r="A130" s="181" t="s">
        <v>16188</v>
      </c>
      <c r="B130" s="182" t="s">
        <v>1100</v>
      </c>
      <c r="C130" s="186" t="s">
        <v>16189</v>
      </c>
      <c r="D130" s="230" t="s">
        <v>16189</v>
      </c>
      <c r="E130" s="182" t="s">
        <v>1069</v>
      </c>
      <c r="F130" s="182" t="s">
        <v>16188</v>
      </c>
      <c r="G130" s="182" t="s">
        <v>13177</v>
      </c>
      <c r="H130" s="183" t="s">
        <v>15840</v>
      </c>
      <c r="I130" s="184" t="s">
        <v>15840</v>
      </c>
      <c r="J130" s="184" t="s">
        <v>15840</v>
      </c>
      <c r="K130" s="224"/>
      <c r="L130" s="224"/>
      <c r="M130" s="224"/>
      <c r="N130" s="224"/>
      <c r="O130" s="224"/>
      <c r="P130" s="185"/>
      <c r="Q130" s="225"/>
      <c r="R130" s="182" t="str">
        <f ca="1">IF(ISERROR($V130),"",OFFSET('Smelter Look-up'!$C$4,$V130-4,0)&amp;"")</f>
        <v/>
      </c>
      <c r="S130" s="181" t="str">
        <f t="shared" ca="1" si="14"/>
        <v>CN</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si="15"/>
        <v>0</v>
      </c>
      <c r="AB130" s="228" t="str">
        <f t="shared" si="16"/>
        <v>TantalumShanghai Jiangxi Metals Co., Ltd.</v>
      </c>
    </row>
    <row r="131" spans="1:28" s="227" customFormat="1" ht="20.25">
      <c r="A131" s="181" t="s">
        <v>16190</v>
      </c>
      <c r="B131" s="182" t="s">
        <v>1099</v>
      </c>
      <c r="C131" s="186" t="s">
        <v>16191</v>
      </c>
      <c r="D131" s="230" t="s">
        <v>16191</v>
      </c>
      <c r="E131" s="182" t="s">
        <v>1069</v>
      </c>
      <c r="F131" s="182" t="s">
        <v>16190</v>
      </c>
      <c r="G131" s="182" t="s">
        <v>13177</v>
      </c>
      <c r="H131" s="183" t="s">
        <v>15840</v>
      </c>
      <c r="I131" s="184" t="s">
        <v>15840</v>
      </c>
      <c r="J131" s="184" t="s">
        <v>15840</v>
      </c>
      <c r="K131" s="224"/>
      <c r="L131" s="224"/>
      <c r="M131" s="224"/>
      <c r="N131" s="224"/>
      <c r="O131" s="224"/>
      <c r="P131" s="185"/>
      <c r="Q131" s="225"/>
      <c r="R131" s="182" t="str">
        <f ca="1">IF(ISERROR($V131),"",OFFSET('Smelter Look-up'!$C$4,$V131-4,0)&amp;"")</f>
        <v/>
      </c>
      <c r="S131" s="181" t="str">
        <f t="shared" ca="1" si="14"/>
        <v>CN</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si="15"/>
        <v>0</v>
      </c>
      <c r="AB131" s="228" t="str">
        <f t="shared" si="16"/>
        <v>TinShangrao Xuri Smelting Factory</v>
      </c>
    </row>
    <row r="132" spans="1:28" s="227" customFormat="1" ht="25.5">
      <c r="A132" s="181" t="s">
        <v>16192</v>
      </c>
      <c r="B132" s="182" t="s">
        <v>1098</v>
      </c>
      <c r="C132" s="186" t="s">
        <v>16193</v>
      </c>
      <c r="D132" s="230" t="s">
        <v>16193</v>
      </c>
      <c r="E132" s="182" t="s">
        <v>1069</v>
      </c>
      <c r="F132" s="182" t="s">
        <v>16192</v>
      </c>
      <c r="G132" s="182" t="s">
        <v>13177</v>
      </c>
      <c r="H132" s="183" t="s">
        <v>15840</v>
      </c>
      <c r="I132" s="184" t="s">
        <v>15840</v>
      </c>
      <c r="J132" s="184" t="s">
        <v>15840</v>
      </c>
      <c r="K132" s="224"/>
      <c r="L132" s="224"/>
      <c r="M132" s="224"/>
      <c r="N132" s="224"/>
      <c r="O132" s="224"/>
      <c r="P132" s="185"/>
      <c r="Q132" s="225"/>
      <c r="R132" s="182" t="str">
        <f ca="1">IF(ISERROR($V132),"",OFFSET('Smelter Look-up'!$C$4,$V132-4,0)&amp;"")</f>
        <v/>
      </c>
      <c r="S132" s="181" t="str">
        <f t="shared" ca="1" si="14"/>
        <v>CN</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si="15"/>
        <v>0</v>
      </c>
      <c r="AB132" s="228" t="str">
        <f t="shared" si="16"/>
        <v>GoldShenzhen Heng Zhong Industry Co., Ltd.</v>
      </c>
    </row>
    <row r="133" spans="1:28" s="227" customFormat="1" ht="25.5">
      <c r="A133" s="181" t="s">
        <v>16194</v>
      </c>
      <c r="B133" s="182" t="s">
        <v>1099</v>
      </c>
      <c r="C133" s="186" t="s">
        <v>16195</v>
      </c>
      <c r="D133" s="230" t="s">
        <v>16195</v>
      </c>
      <c r="E133" s="182" t="s">
        <v>1069</v>
      </c>
      <c r="F133" s="182" t="s">
        <v>16194</v>
      </c>
      <c r="G133" s="182" t="s">
        <v>13177</v>
      </c>
      <c r="H133" s="183" t="s">
        <v>15840</v>
      </c>
      <c r="I133" s="184" t="s">
        <v>15840</v>
      </c>
      <c r="J133" s="184" t="s">
        <v>15840</v>
      </c>
      <c r="K133" s="224"/>
      <c r="L133" s="224"/>
      <c r="M133" s="224"/>
      <c r="N133" s="224"/>
      <c r="O133" s="224"/>
      <c r="P133" s="185"/>
      <c r="Q133" s="225"/>
      <c r="R133" s="182" t="str">
        <f ca="1">IF(ISERROR($V133),"",OFFSET('Smelter Look-up'!$C$4,$V133-4,0)&amp;"")</f>
        <v/>
      </c>
      <c r="S133" s="181" t="str">
        <f t="shared" ref="S133" ca="1" si="17">IF(B133="","",IF(ISERROR(MATCH($E133,CL,0)),"Unknown",INDIRECT("'C'!$A$"&amp;MATCH($E133,CL,0)+1)))</f>
        <v>CN</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si="18">IF(AND(C133="Smelter not listed",OR(LEN(D133)=0,LEN(E133)=0)),1,0)</f>
        <v>0</v>
      </c>
      <c r="AB133" s="228" t="str">
        <f t="shared" ref="AB133" si="19">B133&amp;C133</f>
        <v>TinShenzhen Hong Chang Metal Manufacturing Factory</v>
      </c>
    </row>
    <row r="134" spans="1:28" s="227" customFormat="1" ht="25.5">
      <c r="A134" s="181" t="s">
        <v>16196</v>
      </c>
      <c r="B134" s="182" t="s">
        <v>1099</v>
      </c>
      <c r="C134" s="186" t="s">
        <v>16197</v>
      </c>
      <c r="D134" s="230" t="s">
        <v>16197</v>
      </c>
      <c r="E134" s="182" t="s">
        <v>1069</v>
      </c>
      <c r="F134" s="182" t="s">
        <v>16196</v>
      </c>
      <c r="G134" s="182" t="s">
        <v>13177</v>
      </c>
      <c r="H134" s="183" t="s">
        <v>15840</v>
      </c>
      <c r="I134" s="184" t="s">
        <v>15840</v>
      </c>
      <c r="J134" s="184" t="s">
        <v>15840</v>
      </c>
      <c r="K134" s="224"/>
      <c r="L134" s="224"/>
      <c r="M134" s="224"/>
      <c r="N134" s="224"/>
      <c r="O134" s="224"/>
      <c r="P134" s="185"/>
      <c r="Q134" s="225"/>
      <c r="R134" s="182" t="str">
        <f ca="1">IF(ISERROR($V134),"",OFFSET('Smelter Look-up'!$C$4,$V134-4,0)&amp;"")</f>
        <v/>
      </c>
      <c r="S134" s="181" t="str">
        <f t="shared" ref="S134:S165" ca="1" si="20">IF(B134="","",IF(ISERROR(MATCH($E134,CL,0)),"Unknown",INDIRECT("'C'!$A$"&amp;MATCH($E134,CL,0)+1)))</f>
        <v>CN</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si="21">IF(AND(C134="Smelter not listed",OR(LEN(D134)=0,LEN(E134)=0)),1,0)</f>
        <v>0</v>
      </c>
      <c r="AB134" s="228" t="str">
        <f t="shared" ref="AB134:AB165" si="22">B134&amp;C134</f>
        <v>TinSichuan Guanghan Jiangnan casting smelters</v>
      </c>
    </row>
    <row r="135" spans="1:28" s="227" customFormat="1" ht="20.25">
      <c r="A135" s="181" t="s">
        <v>16198</v>
      </c>
      <c r="B135" s="182" t="s">
        <v>1098</v>
      </c>
      <c r="C135" s="186" t="s">
        <v>16199</v>
      </c>
      <c r="D135" s="230" t="s">
        <v>16199</v>
      </c>
      <c r="E135" s="182" t="s">
        <v>1069</v>
      </c>
      <c r="F135" s="182" t="s">
        <v>16198</v>
      </c>
      <c r="G135" s="182" t="s">
        <v>13177</v>
      </c>
      <c r="H135" s="183" t="s">
        <v>15840</v>
      </c>
      <c r="I135" s="184" t="s">
        <v>15840</v>
      </c>
      <c r="J135" s="184" t="s">
        <v>15840</v>
      </c>
      <c r="K135" s="224"/>
      <c r="L135" s="224"/>
      <c r="M135" s="224"/>
      <c r="N135" s="224"/>
      <c r="O135" s="224"/>
      <c r="P135" s="185"/>
      <c r="Q135" s="225"/>
      <c r="R135" s="182" t="str">
        <f ca="1">IF(ISERROR($V135),"",OFFSET('Smelter Look-up'!$C$4,$V135-4,0)&amp;"")</f>
        <v/>
      </c>
      <c r="S135" s="181" t="str">
        <f t="shared" ca="1" si="20"/>
        <v>CN</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si="21"/>
        <v>0</v>
      </c>
      <c r="AB135" s="228" t="str">
        <f t="shared" si="22"/>
        <v>GoldSino-Platinum Metals Co., Ltd.</v>
      </c>
    </row>
    <row r="136" spans="1:28" s="227" customFormat="1" ht="25.5">
      <c r="A136" s="181" t="s">
        <v>16200</v>
      </c>
      <c r="B136" s="182" t="s">
        <v>1099</v>
      </c>
      <c r="C136" s="186" t="s">
        <v>16201</v>
      </c>
      <c r="D136" s="230" t="s">
        <v>16201</v>
      </c>
      <c r="E136" s="182" t="s">
        <v>1069</v>
      </c>
      <c r="F136" s="182" t="s">
        <v>16200</v>
      </c>
      <c r="G136" s="182" t="s">
        <v>13177</v>
      </c>
      <c r="H136" s="183" t="s">
        <v>15840</v>
      </c>
      <c r="I136" s="184" t="s">
        <v>15840</v>
      </c>
      <c r="J136" s="184" t="s">
        <v>15840</v>
      </c>
      <c r="K136" s="224"/>
      <c r="L136" s="224"/>
      <c r="M136" s="224"/>
      <c r="N136" s="224"/>
      <c r="O136" s="224"/>
      <c r="P136" s="185"/>
      <c r="Q136" s="225"/>
      <c r="R136" s="182" t="str">
        <f ca="1">IF(ISERROR($V136),"",OFFSET('Smelter Look-up'!$C$4,$V136-4,0)&amp;"")</f>
        <v/>
      </c>
      <c r="S136" s="181" t="str">
        <f t="shared" ca="1" si="20"/>
        <v>CN</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si="21"/>
        <v>0</v>
      </c>
      <c r="AB136" s="228" t="str">
        <f t="shared" si="22"/>
        <v>TinSuzhou Nuonengda Chemical Co., Ltd.</v>
      </c>
    </row>
    <row r="137" spans="1:28" s="227" customFormat="1" ht="102">
      <c r="A137" s="181" t="s">
        <v>1756</v>
      </c>
      <c r="B137" s="182" t="s">
        <v>1099</v>
      </c>
      <c r="C137" s="186" t="s">
        <v>1755</v>
      </c>
      <c r="D137" s="230" t="s">
        <v>1755</v>
      </c>
      <c r="E137" s="182" t="s">
        <v>1069</v>
      </c>
      <c r="F137" s="182" t="s">
        <v>1756</v>
      </c>
      <c r="G137" s="182" t="s">
        <v>13177</v>
      </c>
      <c r="H137" s="183"/>
      <c r="I137" s="184" t="s">
        <v>2398</v>
      </c>
      <c r="J137" s="184" t="s">
        <v>13540</v>
      </c>
      <c r="K137" s="224"/>
      <c r="L137" s="224"/>
      <c r="M137" s="224"/>
      <c r="N137" s="224"/>
      <c r="O137" s="224" t="s">
        <v>16202</v>
      </c>
      <c r="P137" s="185"/>
      <c r="Q137" s="225"/>
      <c r="R137" s="182" t="str">
        <f ca="1">IF(ISERROR($V137),"",OFFSET('Smelter Look-up'!$C$4,$V137-4,0)&amp;"")</f>
        <v>Gejiu Yunxin Nonferrous Electrolysis Co., Ltd.</v>
      </c>
      <c r="S137" s="181" t="str">
        <f t="shared" ca="1" si="20"/>
        <v>CN</v>
      </c>
      <c r="T137" s="181" t="str">
        <f ca="1">IF(B137="","",IF(ISERROR(MATCH($J137,SorP!$B$1:$B$6226,0)),"",INDIRECT("'SorP'!$A$"&amp;MATCH($S137&amp;$J137,SorP!C:C,0))))</f>
        <v>CN-YN</v>
      </c>
      <c r="U137" s="201"/>
      <c r="V137" s="226">
        <f>IF(C137="",NA(),IF(OR(C137="Smelter not listed",C137="Smelter not yet identified"),MATCH($B137&amp;$D137,'Smelter Look-up'!$J:$J,0),MATCH($B137&amp;$C137,'Smelter Look-up'!$J:$J,0)))</f>
        <v>444</v>
      </c>
      <c r="X137" s="227">
        <f t="shared" si="21"/>
        <v>0</v>
      </c>
      <c r="AB137" s="228" t="str">
        <f t="shared" si="22"/>
        <v>TinGejiu Yunxin Nonferrous Electrolysis Co., Ltd.</v>
      </c>
    </row>
    <row r="138" spans="1:28" s="227" customFormat="1" ht="38.25">
      <c r="A138" s="181" t="s">
        <v>714</v>
      </c>
      <c r="B138" s="182" t="s">
        <v>1098</v>
      </c>
      <c r="C138" s="186" t="s">
        <v>2169</v>
      </c>
      <c r="D138" s="230" t="s">
        <v>2169</v>
      </c>
      <c r="E138" s="182" t="s">
        <v>1069</v>
      </c>
      <c r="F138" s="182" t="s">
        <v>714</v>
      </c>
      <c r="G138" s="182" t="s">
        <v>13177</v>
      </c>
      <c r="H138" s="183"/>
      <c r="I138" s="184" t="s">
        <v>1625</v>
      </c>
      <c r="J138" s="184" t="s">
        <v>13538</v>
      </c>
      <c r="K138" s="224"/>
      <c r="L138" s="224"/>
      <c r="M138" s="224"/>
      <c r="N138" s="224"/>
      <c r="O138" s="224" t="s">
        <v>16203</v>
      </c>
      <c r="P138" s="185"/>
      <c r="Q138" s="225"/>
      <c r="R138" s="182" t="str">
        <f ca="1">IF(ISERROR($V138),"",OFFSET('Smelter Look-up'!$C$4,$V138-4,0)&amp;"")</f>
        <v>Great Wall Precious Metals Co., Ltd. of CBPM</v>
      </c>
      <c r="S138" s="181" t="str">
        <f t="shared" ca="1" si="20"/>
        <v>CN</v>
      </c>
      <c r="T138" s="181" t="str">
        <f ca="1">IF(B138="","",IF(ISERROR(MATCH($J138,SorP!$B$1:$B$6226,0)),"",INDIRECT("'SorP'!$A$"&amp;MATCH($S138&amp;$J138,SorP!C:C,0))))</f>
        <v>CN-SC</v>
      </c>
      <c r="U138" s="201"/>
      <c r="V138" s="226">
        <f>IF(C138="",NA(),IF(OR(C138="Smelter not listed",C138="Smelter not yet identified"),MATCH($B138&amp;$D138,'Smelter Look-up'!$J:$J,0),MATCH($B138&amp;$C138,'Smelter Look-up'!$J:$J,0)))</f>
        <v>97</v>
      </c>
      <c r="X138" s="227">
        <f t="shared" si="21"/>
        <v>0</v>
      </c>
      <c r="AB138" s="228" t="str">
        <f t="shared" si="22"/>
        <v>GoldGreat Wall Precious Metals Co., Ltd. of CBPM</v>
      </c>
    </row>
    <row r="139" spans="1:28" s="227" customFormat="1" ht="20.25">
      <c r="A139" s="181" t="s">
        <v>16204</v>
      </c>
      <c r="B139" s="182" t="s">
        <v>1099</v>
      </c>
      <c r="C139" s="186" t="s">
        <v>16205</v>
      </c>
      <c r="D139" s="230" t="s">
        <v>16205</v>
      </c>
      <c r="E139" s="182" t="s">
        <v>1069</v>
      </c>
      <c r="F139" s="182" t="s">
        <v>16204</v>
      </c>
      <c r="G139" s="182" t="s">
        <v>13177</v>
      </c>
      <c r="H139" s="183" t="s">
        <v>15840</v>
      </c>
      <c r="I139" s="184" t="s">
        <v>15840</v>
      </c>
      <c r="J139" s="184" t="s">
        <v>15840</v>
      </c>
      <c r="K139" s="224"/>
      <c r="L139" s="224"/>
      <c r="M139" s="224"/>
      <c r="N139" s="224"/>
      <c r="O139" s="224"/>
      <c r="P139" s="185"/>
      <c r="Q139" s="225"/>
      <c r="R139" s="182" t="str">
        <f ca="1">IF(ISERROR($V139),"",OFFSET('Smelter Look-up'!$C$4,$V139-4,0)&amp;"")</f>
        <v/>
      </c>
      <c r="S139" s="181" t="str">
        <f t="shared" ca="1" si="20"/>
        <v>CN</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si="21"/>
        <v>0</v>
      </c>
      <c r="AB139" s="228" t="str">
        <f t="shared" si="22"/>
        <v>TinTIN PLATING GEJIU</v>
      </c>
    </row>
    <row r="140" spans="1:28" s="227" customFormat="1" ht="25.5">
      <c r="A140" s="181" t="s">
        <v>717</v>
      </c>
      <c r="B140" s="182" t="s">
        <v>1098</v>
      </c>
      <c r="C140" s="186" t="s">
        <v>2150</v>
      </c>
      <c r="D140" s="230" t="s">
        <v>2150</v>
      </c>
      <c r="E140" s="182" t="s">
        <v>1069</v>
      </c>
      <c r="F140" s="182" t="s">
        <v>717</v>
      </c>
      <c r="G140" s="182" t="s">
        <v>13177</v>
      </c>
      <c r="H140" s="183"/>
      <c r="I140" s="184" t="s">
        <v>1636</v>
      </c>
      <c r="J140" s="184" t="s">
        <v>13529</v>
      </c>
      <c r="K140" s="224"/>
      <c r="L140" s="224"/>
      <c r="M140" s="224"/>
      <c r="N140" s="224"/>
      <c r="O140" s="224" t="s">
        <v>16206</v>
      </c>
      <c r="P140" s="185"/>
      <c r="Q140" s="225"/>
      <c r="R140" s="182" t="str">
        <f ca="1">IF(ISERROR($V140),"",OFFSET('Smelter Look-up'!$C$4,$V140-4,0)&amp;"")</f>
        <v>Tongling Nonferrous Metals Group Co., Ltd.</v>
      </c>
      <c r="S140" s="181" t="str">
        <f t="shared" ca="1" si="20"/>
        <v>CN</v>
      </c>
      <c r="T140" s="181" t="str">
        <f ca="1">IF(B140="","",IF(ISERROR(MATCH($J140,SorP!$B$1:$B$6226,0)),"",INDIRECT("'SorP'!$A$"&amp;MATCH($S140&amp;$J140,SorP!C:C,0))))</f>
        <v>CN-AH</v>
      </c>
      <c r="U140" s="201"/>
      <c r="V140" s="226">
        <f>IF(C140="",NA(),IF(OR(C140="Smelter not listed",C140="Smelter not yet identified"),MATCH($B140&amp;$D140,'Smelter Look-up'!$J:$J,0),MATCH($B140&amp;$C140,'Smelter Look-up'!$J:$J,0)))</f>
        <v>294</v>
      </c>
      <c r="X140" s="227">
        <f t="shared" si="21"/>
        <v>0</v>
      </c>
      <c r="AB140" s="228" t="str">
        <f t="shared" si="22"/>
        <v>GoldTongling Nonferrous Metals Group Co., Ltd.</v>
      </c>
    </row>
    <row r="141" spans="1:28" s="227" customFormat="1" ht="25.5">
      <c r="A141" s="181" t="s">
        <v>16207</v>
      </c>
      <c r="B141" s="182" t="s">
        <v>1099</v>
      </c>
      <c r="C141" s="186" t="s">
        <v>16208</v>
      </c>
      <c r="D141" s="230" t="s">
        <v>16208</v>
      </c>
      <c r="E141" s="182" t="s">
        <v>1069</v>
      </c>
      <c r="F141" s="182" t="s">
        <v>16207</v>
      </c>
      <c r="G141" s="182" t="s">
        <v>13177</v>
      </c>
      <c r="H141" s="183" t="s">
        <v>15840</v>
      </c>
      <c r="I141" s="184" t="s">
        <v>15840</v>
      </c>
      <c r="J141" s="184" t="s">
        <v>15840</v>
      </c>
      <c r="K141" s="224"/>
      <c r="L141" s="224"/>
      <c r="M141" s="224"/>
      <c r="N141" s="224"/>
      <c r="O141" s="224"/>
      <c r="P141" s="185"/>
      <c r="Q141" s="225"/>
      <c r="R141" s="182" t="str">
        <f ca="1">IF(ISERROR($V141),"",OFFSET('Smelter Look-up'!$C$4,$V141-4,0)&amp;"")</f>
        <v/>
      </c>
      <c r="S141" s="181" t="str">
        <f t="shared" ca="1" si="20"/>
        <v>CN</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si="21"/>
        <v>0</v>
      </c>
      <c r="AB141" s="228" t="str">
        <f t="shared" si="22"/>
        <v>TinTop-Team Technology (Shenzhen) Ltd.</v>
      </c>
    </row>
    <row r="142" spans="1:28" s="227" customFormat="1" ht="25.5">
      <c r="A142" s="181" t="s">
        <v>16209</v>
      </c>
      <c r="B142" s="182" t="s">
        <v>1098</v>
      </c>
      <c r="C142" s="186" t="s">
        <v>16210</v>
      </c>
      <c r="D142" s="230" t="s">
        <v>16210</v>
      </c>
      <c r="E142" s="182" t="s">
        <v>1069</v>
      </c>
      <c r="F142" s="182" t="s">
        <v>16209</v>
      </c>
      <c r="G142" s="182" t="s">
        <v>13177</v>
      </c>
      <c r="H142" s="183" t="s">
        <v>15840</v>
      </c>
      <c r="I142" s="184" t="s">
        <v>15840</v>
      </c>
      <c r="J142" s="184" t="s">
        <v>15840</v>
      </c>
      <c r="K142" s="224"/>
      <c r="L142" s="224"/>
      <c r="M142" s="224"/>
      <c r="N142" s="224"/>
      <c r="O142" s="224"/>
      <c r="P142" s="185"/>
      <c r="Q142" s="225"/>
      <c r="R142" s="182" t="str">
        <f ca="1">IF(ISERROR($V142),"",OFFSET('Smelter Look-up'!$C$4,$V142-4,0)&amp;"")</f>
        <v/>
      </c>
      <c r="S142" s="181" t="str">
        <f t="shared" ca="1" si="20"/>
        <v>CN</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si="21"/>
        <v>0</v>
      </c>
      <c r="AB142" s="228" t="str">
        <f t="shared" si="22"/>
        <v>GoldViagra Di precious metals (Zhaoyuan) Co., Ltd.</v>
      </c>
    </row>
    <row r="143" spans="1:28" s="227" customFormat="1" ht="20.25">
      <c r="A143" s="181" t="s">
        <v>16211</v>
      </c>
      <c r="B143" s="182" t="s">
        <v>1099</v>
      </c>
      <c r="C143" s="186" t="s">
        <v>16212</v>
      </c>
      <c r="D143" s="230" t="s">
        <v>16212</v>
      </c>
      <c r="E143" s="182" t="s">
        <v>1069</v>
      </c>
      <c r="F143" s="182" t="s">
        <v>16211</v>
      </c>
      <c r="G143" s="182" t="s">
        <v>13177</v>
      </c>
      <c r="H143" s="183" t="s">
        <v>15840</v>
      </c>
      <c r="I143" s="184" t="s">
        <v>15840</v>
      </c>
      <c r="J143" s="184" t="s">
        <v>15840</v>
      </c>
      <c r="K143" s="224"/>
      <c r="L143" s="224"/>
      <c r="M143" s="224"/>
      <c r="N143" s="224"/>
      <c r="O143" s="224"/>
      <c r="P143" s="185"/>
      <c r="Q143" s="225"/>
      <c r="R143" s="182" t="str">
        <f ca="1">IF(ISERROR($V143),"",OFFSET('Smelter Look-up'!$C$4,$V143-4,0)&amp;"")</f>
        <v/>
      </c>
      <c r="S143" s="181" t="str">
        <f t="shared" ca="1" si="20"/>
        <v>CN</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si="21"/>
        <v>0</v>
      </c>
      <c r="AB143" s="228" t="str">
        <f t="shared" si="22"/>
        <v>TinWUJIANG CITY LUXE TIN FACTORY</v>
      </c>
    </row>
    <row r="144" spans="1:28" s="227" customFormat="1" ht="20.25">
      <c r="A144" s="181" t="s">
        <v>16213</v>
      </c>
      <c r="B144" s="182" t="s">
        <v>1098</v>
      </c>
      <c r="C144" s="186" t="s">
        <v>16214</v>
      </c>
      <c r="D144" s="230" t="s">
        <v>16214</v>
      </c>
      <c r="E144" s="182" t="s">
        <v>1069</v>
      </c>
      <c r="F144" s="182" t="s">
        <v>16213</v>
      </c>
      <c r="G144" s="182" t="s">
        <v>13177</v>
      </c>
      <c r="H144" s="183" t="s">
        <v>15840</v>
      </c>
      <c r="I144" s="184" t="s">
        <v>15840</v>
      </c>
      <c r="J144" s="184" t="s">
        <v>15840</v>
      </c>
      <c r="K144" s="224"/>
      <c r="L144" s="224"/>
      <c r="M144" s="224"/>
      <c r="N144" s="224"/>
      <c r="O144" s="224"/>
      <c r="P144" s="185"/>
      <c r="Q144" s="225"/>
      <c r="R144" s="182" t="str">
        <f ca="1">IF(ISERROR($V144),"",OFFSET('Smelter Look-up'!$C$4,$V144-4,0)&amp;"")</f>
        <v/>
      </c>
      <c r="S144" s="181" t="str">
        <f t="shared" ca="1" si="20"/>
        <v>CN</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si="21"/>
        <v>0</v>
      </c>
      <c r="AB144" s="228" t="str">
        <f t="shared" si="22"/>
        <v>GoldWuzhong Group</v>
      </c>
    </row>
    <row r="145" spans="1:28" s="227" customFormat="1" ht="25.5">
      <c r="A145" s="181" t="s">
        <v>16215</v>
      </c>
      <c r="B145" s="182" t="s">
        <v>1099</v>
      </c>
      <c r="C145" s="186" t="s">
        <v>16216</v>
      </c>
      <c r="D145" s="230" t="s">
        <v>16216</v>
      </c>
      <c r="E145" s="182" t="s">
        <v>1069</v>
      </c>
      <c r="F145" s="182" t="s">
        <v>16215</v>
      </c>
      <c r="G145" s="182" t="s">
        <v>13177</v>
      </c>
      <c r="H145" s="183" t="s">
        <v>15840</v>
      </c>
      <c r="I145" s="184" t="s">
        <v>15840</v>
      </c>
      <c r="J145" s="184" t="s">
        <v>15840</v>
      </c>
      <c r="K145" s="224"/>
      <c r="L145" s="224"/>
      <c r="M145" s="224"/>
      <c r="N145" s="224"/>
      <c r="O145" s="224"/>
      <c r="P145" s="185"/>
      <c r="Q145" s="225"/>
      <c r="R145" s="182" t="str">
        <f ca="1">IF(ISERROR($V145),"",OFFSET('Smelter Look-up'!$C$4,$V145-4,0)&amp;"")</f>
        <v/>
      </c>
      <c r="S145" s="181" t="str">
        <f t="shared" ca="1" si="20"/>
        <v>CN</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si="21"/>
        <v>0</v>
      </c>
      <c r="AB145" s="228" t="str">
        <f t="shared" si="22"/>
        <v>TinXin Furukawa Metal ( Wuxi ) Co., Ltd.</v>
      </c>
    </row>
    <row r="146" spans="1:28" s="227" customFormat="1" ht="20.25">
      <c r="A146" s="181" t="s">
        <v>16217</v>
      </c>
      <c r="B146" s="182" t="s">
        <v>1099</v>
      </c>
      <c r="C146" s="186" t="s">
        <v>16218</v>
      </c>
      <c r="D146" s="230" t="s">
        <v>16218</v>
      </c>
      <c r="E146" s="182" t="s">
        <v>1069</v>
      </c>
      <c r="F146" s="182" t="s">
        <v>16217</v>
      </c>
      <c r="G146" s="182" t="s">
        <v>13177</v>
      </c>
      <c r="H146" s="183" t="s">
        <v>15840</v>
      </c>
      <c r="I146" s="184" t="s">
        <v>15840</v>
      </c>
      <c r="J146" s="184" t="s">
        <v>15840</v>
      </c>
      <c r="K146" s="224"/>
      <c r="L146" s="224"/>
      <c r="M146" s="224"/>
      <c r="N146" s="224"/>
      <c r="O146" s="224"/>
      <c r="P146" s="185"/>
      <c r="Q146" s="225"/>
      <c r="R146" s="182" t="str">
        <f ca="1">IF(ISERROR($V146),"",OFFSET('Smelter Look-up'!$C$4,$V146-4,0)&amp;"")</f>
        <v/>
      </c>
      <c r="S146" s="181" t="str">
        <f t="shared" ca="1" si="20"/>
        <v>CN</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si="21"/>
        <v>0</v>
      </c>
      <c r="AB146" s="228" t="str">
        <f t="shared" si="22"/>
        <v>TinXURI</v>
      </c>
    </row>
    <row r="147" spans="1:28" s="227" customFormat="1" ht="20.25">
      <c r="A147" s="181" t="s">
        <v>16219</v>
      </c>
      <c r="B147" s="182" t="s">
        <v>1099</v>
      </c>
      <c r="C147" s="186" t="s">
        <v>16220</v>
      </c>
      <c r="D147" s="230" t="s">
        <v>16220</v>
      </c>
      <c r="E147" s="182" t="s">
        <v>1069</v>
      </c>
      <c r="F147" s="182" t="s">
        <v>16219</v>
      </c>
      <c r="G147" s="182" t="s">
        <v>13177</v>
      </c>
      <c r="H147" s="183" t="s">
        <v>15840</v>
      </c>
      <c r="I147" s="184" t="s">
        <v>15840</v>
      </c>
      <c r="J147" s="184" t="s">
        <v>15840</v>
      </c>
      <c r="K147" s="224"/>
      <c r="L147" s="224"/>
      <c r="M147" s="224"/>
      <c r="N147" s="224"/>
      <c r="O147" s="224"/>
      <c r="P147" s="185"/>
      <c r="Q147" s="225"/>
      <c r="R147" s="182" t="str">
        <f ca="1">IF(ISERROR($V147),"",OFFSET('Smelter Look-up'!$C$4,$V147-4,0)&amp;"")</f>
        <v/>
      </c>
      <c r="S147" s="181" t="str">
        <f t="shared" ca="1" si="20"/>
        <v>CN</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si="21"/>
        <v>0</v>
      </c>
      <c r="AB147" s="228" t="str">
        <f t="shared" si="22"/>
        <v>TinYifeng Tin</v>
      </c>
    </row>
    <row r="148" spans="1:28" s="227" customFormat="1" ht="20.25">
      <c r="A148" s="181" t="s">
        <v>16221</v>
      </c>
      <c r="B148" s="182" t="s">
        <v>1099</v>
      </c>
      <c r="C148" s="186" t="s">
        <v>16222</v>
      </c>
      <c r="D148" s="230" t="s">
        <v>16222</v>
      </c>
      <c r="E148" s="182" t="s">
        <v>1069</v>
      </c>
      <c r="F148" s="182" t="s">
        <v>16221</v>
      </c>
      <c r="G148" s="182" t="s">
        <v>13177</v>
      </c>
      <c r="H148" s="183" t="s">
        <v>15840</v>
      </c>
      <c r="I148" s="184" t="s">
        <v>15840</v>
      </c>
      <c r="J148" s="184" t="s">
        <v>15840</v>
      </c>
      <c r="K148" s="224"/>
      <c r="L148" s="224"/>
      <c r="M148" s="224"/>
      <c r="N148" s="224"/>
      <c r="O148" s="224"/>
      <c r="P148" s="185"/>
      <c r="Q148" s="225"/>
      <c r="R148" s="182" t="str">
        <f ca="1">IF(ISERROR($V148),"",OFFSET('Smelter Look-up'!$C$4,$V148-4,0)&amp;"")</f>
        <v/>
      </c>
      <c r="S148" s="181" t="str">
        <f t="shared" ca="1" si="20"/>
        <v>CN</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si="21"/>
        <v>0</v>
      </c>
      <c r="AB148" s="228" t="str">
        <f t="shared" si="22"/>
        <v>TinYuecheng Tin Co., Ltd.</v>
      </c>
    </row>
    <row r="149" spans="1:28" s="227" customFormat="1" ht="25.5">
      <c r="A149" s="181" t="s">
        <v>16223</v>
      </c>
      <c r="B149" s="182" t="s">
        <v>1099</v>
      </c>
      <c r="C149" s="186" t="s">
        <v>16224</v>
      </c>
      <c r="D149" s="230" t="s">
        <v>16224</v>
      </c>
      <c r="E149" s="182" t="s">
        <v>1069</v>
      </c>
      <c r="F149" s="182" t="s">
        <v>16223</v>
      </c>
      <c r="G149" s="182" t="s">
        <v>13177</v>
      </c>
      <c r="H149" s="183" t="s">
        <v>15840</v>
      </c>
      <c r="I149" s="184" t="s">
        <v>15840</v>
      </c>
      <c r="J149" s="184" t="s">
        <v>15840</v>
      </c>
      <c r="K149" s="224"/>
      <c r="L149" s="224"/>
      <c r="M149" s="224"/>
      <c r="N149" s="224"/>
      <c r="O149" s="224"/>
      <c r="P149" s="185"/>
      <c r="Q149" s="225"/>
      <c r="R149" s="182" t="str">
        <f ca="1">IF(ISERROR($V149),"",OFFSET('Smelter Look-up'!$C$4,$V149-4,0)&amp;"")</f>
        <v/>
      </c>
      <c r="S149" s="181" t="str">
        <f t="shared" ca="1" si="20"/>
        <v>CN</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si="21"/>
        <v>0</v>
      </c>
      <c r="AB149" s="228" t="str">
        <f t="shared" si="22"/>
        <v>TinYunnan Chengo Electric Smelting Plant</v>
      </c>
    </row>
    <row r="150" spans="1:28" s="227" customFormat="1" ht="25.5">
      <c r="A150" s="181" t="s">
        <v>16225</v>
      </c>
      <c r="B150" s="182" t="s">
        <v>1099</v>
      </c>
      <c r="C150" s="186" t="s">
        <v>16226</v>
      </c>
      <c r="D150" s="230" t="s">
        <v>16226</v>
      </c>
      <c r="E150" s="182" t="s">
        <v>1069</v>
      </c>
      <c r="F150" s="182" t="s">
        <v>16225</v>
      </c>
      <c r="G150" s="182" t="s">
        <v>13177</v>
      </c>
      <c r="H150" s="183" t="s">
        <v>15840</v>
      </c>
      <c r="I150" s="184" t="s">
        <v>15840</v>
      </c>
      <c r="J150" s="184" t="s">
        <v>15840</v>
      </c>
      <c r="K150" s="224"/>
      <c r="L150" s="224"/>
      <c r="M150" s="224"/>
      <c r="N150" s="224"/>
      <c r="O150" s="224"/>
      <c r="P150" s="185"/>
      <c r="Q150" s="225"/>
      <c r="R150" s="182" t="str">
        <f ca="1">IF(ISERROR($V150),"",OFFSET('Smelter Look-up'!$C$4,$V150-4,0)&amp;"")</f>
        <v/>
      </c>
      <c r="S150" s="181" t="str">
        <f t="shared" ca="1" si="20"/>
        <v>CN</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si="21"/>
        <v>0</v>
      </c>
      <c r="AB150" s="228" t="str">
        <f t="shared" si="22"/>
        <v>TinYunnan Copper Zinc Industry Co., Ltd.</v>
      </c>
    </row>
    <row r="151" spans="1:28" s="227" customFormat="1" ht="20.25">
      <c r="A151" s="181" t="s">
        <v>16227</v>
      </c>
      <c r="B151" s="182" t="s">
        <v>1099</v>
      </c>
      <c r="C151" s="186" t="s">
        <v>16228</v>
      </c>
      <c r="D151" s="230" t="s">
        <v>16228</v>
      </c>
      <c r="E151" s="182" t="s">
        <v>1069</v>
      </c>
      <c r="F151" s="182" t="s">
        <v>16227</v>
      </c>
      <c r="G151" s="182" t="s">
        <v>13177</v>
      </c>
      <c r="H151" s="183" t="s">
        <v>15840</v>
      </c>
      <c r="I151" s="184" t="s">
        <v>15840</v>
      </c>
      <c r="J151" s="184" t="s">
        <v>15840</v>
      </c>
      <c r="K151" s="224"/>
      <c r="L151" s="224"/>
      <c r="M151" s="224"/>
      <c r="N151" s="224"/>
      <c r="O151" s="224"/>
      <c r="P151" s="185"/>
      <c r="Q151" s="225"/>
      <c r="R151" s="182" t="str">
        <f ca="1">IF(ISERROR($V151),"",OFFSET('Smelter Look-up'!$C$4,$V151-4,0)&amp;"")</f>
        <v/>
      </c>
      <c r="S151" s="181" t="str">
        <f t="shared" ca="1" si="20"/>
        <v>CN</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si="21"/>
        <v>0</v>
      </c>
      <c r="AB151" s="228" t="str">
        <f t="shared" si="22"/>
        <v>TinYunnan Industrial Co., Ltd.</v>
      </c>
    </row>
    <row r="152" spans="1:28" s="227" customFormat="1" ht="25.5">
      <c r="A152" s="181" t="s">
        <v>16229</v>
      </c>
      <c r="B152" s="182" t="s">
        <v>1101</v>
      </c>
      <c r="C152" s="186" t="s">
        <v>16230</v>
      </c>
      <c r="D152" s="230" t="s">
        <v>16230</v>
      </c>
      <c r="E152" s="182" t="s">
        <v>1069</v>
      </c>
      <c r="F152" s="182" t="s">
        <v>16229</v>
      </c>
      <c r="G152" s="182" t="s">
        <v>13177</v>
      </c>
      <c r="H152" s="183" t="s">
        <v>15840</v>
      </c>
      <c r="I152" s="184" t="s">
        <v>15840</v>
      </c>
      <c r="J152" s="184" t="s">
        <v>15840</v>
      </c>
      <c r="K152" s="224"/>
      <c r="L152" s="224"/>
      <c r="M152" s="224"/>
      <c r="N152" s="224"/>
      <c r="O152" s="224"/>
      <c r="P152" s="185"/>
      <c r="Q152" s="225"/>
      <c r="R152" s="182" t="str">
        <f ca="1">IF(ISERROR($V152),"",OFFSET('Smelter Look-up'!$C$4,$V152-4,0)&amp;"")</f>
        <v/>
      </c>
      <c r="S152" s="181" t="str">
        <f t="shared" ca="1" si="20"/>
        <v>CN</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si="21"/>
        <v>0</v>
      </c>
      <c r="AB152" s="228" t="str">
        <f t="shared" si="22"/>
        <v>TungstenZhangzhou Chuen Bao Apt Smeltery Co., Ltd.</v>
      </c>
    </row>
    <row r="153" spans="1:28" s="227" customFormat="1" ht="25.5">
      <c r="A153" s="181" t="s">
        <v>16231</v>
      </c>
      <c r="B153" s="182" t="s">
        <v>1098</v>
      </c>
      <c r="C153" s="186" t="s">
        <v>16232</v>
      </c>
      <c r="D153" s="230" t="s">
        <v>16232</v>
      </c>
      <c r="E153" s="182" t="s">
        <v>1069</v>
      </c>
      <c r="F153" s="182" t="s">
        <v>16231</v>
      </c>
      <c r="G153" s="182" t="s">
        <v>13177</v>
      </c>
      <c r="H153" s="183" t="s">
        <v>15840</v>
      </c>
      <c r="I153" s="184" t="s">
        <v>15840</v>
      </c>
      <c r="J153" s="184" t="s">
        <v>15840</v>
      </c>
      <c r="K153" s="224"/>
      <c r="L153" s="224"/>
      <c r="M153" s="224"/>
      <c r="N153" s="224"/>
      <c r="O153" s="224"/>
      <c r="P153" s="185"/>
      <c r="Q153" s="225"/>
      <c r="R153" s="182" t="str">
        <f ca="1">IF(ISERROR($V153),"",OFFSET('Smelter Look-up'!$C$4,$V153-4,0)&amp;"")</f>
        <v/>
      </c>
      <c r="S153" s="181" t="str">
        <f t="shared" ca="1" si="20"/>
        <v>CN</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si="21"/>
        <v>0</v>
      </c>
      <c r="AB153" s="228" t="str">
        <f t="shared" si="22"/>
        <v>GoldZhe Jiang Guang Yuan Noble Metal Smelting Factory</v>
      </c>
    </row>
    <row r="154" spans="1:28" s="227" customFormat="1" ht="25.5">
      <c r="A154" s="181" t="s">
        <v>16233</v>
      </c>
      <c r="B154" s="182" t="s">
        <v>1098</v>
      </c>
      <c r="C154" s="186" t="s">
        <v>16234</v>
      </c>
      <c r="D154" s="230" t="s">
        <v>16234</v>
      </c>
      <c r="E154" s="182" t="s">
        <v>1069</v>
      </c>
      <c r="F154" s="182" t="s">
        <v>16233</v>
      </c>
      <c r="G154" s="182" t="s">
        <v>13177</v>
      </c>
      <c r="H154" s="183" t="s">
        <v>15840</v>
      </c>
      <c r="I154" s="184" t="s">
        <v>15840</v>
      </c>
      <c r="J154" s="184" t="s">
        <v>15840</v>
      </c>
      <c r="K154" s="224"/>
      <c r="L154" s="224"/>
      <c r="M154" s="224"/>
      <c r="N154" s="224"/>
      <c r="O154" s="224"/>
      <c r="P154" s="185"/>
      <c r="Q154" s="225"/>
      <c r="R154" s="182" t="str">
        <f ca="1">IF(ISERROR($V154),"",OFFSET('Smelter Look-up'!$C$4,$V154-4,0)&amp;"")</f>
        <v/>
      </c>
      <c r="S154" s="181" t="str">
        <f t="shared" ca="1" si="20"/>
        <v>CN</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si="21"/>
        <v>0</v>
      </c>
      <c r="AB154" s="228" t="str">
        <f t="shared" si="22"/>
        <v>GoldZhongkuang Gold Industry Co., Ltd.</v>
      </c>
    </row>
    <row r="155" spans="1:28" s="227" customFormat="1" ht="25.5">
      <c r="A155" s="181" t="s">
        <v>16235</v>
      </c>
      <c r="B155" s="182" t="s">
        <v>1098</v>
      </c>
      <c r="C155" s="186" t="s">
        <v>16236</v>
      </c>
      <c r="D155" s="230" t="s">
        <v>16236</v>
      </c>
      <c r="E155" s="182" t="s">
        <v>1069</v>
      </c>
      <c r="F155" s="182" t="s">
        <v>16235</v>
      </c>
      <c r="G155" s="182" t="s">
        <v>13177</v>
      </c>
      <c r="H155" s="183" t="s">
        <v>15840</v>
      </c>
      <c r="I155" s="184" t="s">
        <v>15840</v>
      </c>
      <c r="J155" s="184" t="s">
        <v>15840</v>
      </c>
      <c r="K155" s="224"/>
      <c r="L155" s="224"/>
      <c r="M155" s="224"/>
      <c r="N155" s="224"/>
      <c r="O155" s="224"/>
      <c r="P155" s="185"/>
      <c r="Q155" s="225"/>
      <c r="R155" s="182" t="str">
        <f ca="1">IF(ISERROR($V155),"",OFFSET('Smelter Look-up'!$C$4,$V155-4,0)&amp;"")</f>
        <v/>
      </c>
      <c r="S155" s="181" t="str">
        <f t="shared" ca="1" si="20"/>
        <v>CN</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si="21"/>
        <v>0</v>
      </c>
      <c r="AB155" s="228" t="str">
        <f t="shared" si="22"/>
        <v>GoldZhongshan Hyper-Toxic Substance Monopolized Co., Ltd.</v>
      </c>
    </row>
    <row r="156" spans="1:28" s="227" customFormat="1" ht="25.5">
      <c r="A156" s="181" t="s">
        <v>16237</v>
      </c>
      <c r="B156" s="182" t="s">
        <v>1098</v>
      </c>
      <c r="C156" s="186" t="s">
        <v>16238</v>
      </c>
      <c r="D156" s="230" t="s">
        <v>16238</v>
      </c>
      <c r="E156" s="182" t="s">
        <v>1069</v>
      </c>
      <c r="F156" s="182" t="s">
        <v>16237</v>
      </c>
      <c r="G156" s="182" t="s">
        <v>13177</v>
      </c>
      <c r="H156" s="183" t="s">
        <v>15840</v>
      </c>
      <c r="I156" s="184" t="s">
        <v>15840</v>
      </c>
      <c r="J156" s="184" t="s">
        <v>15840</v>
      </c>
      <c r="K156" s="224"/>
      <c r="L156" s="224"/>
      <c r="M156" s="224"/>
      <c r="N156" s="224"/>
      <c r="O156" s="224"/>
      <c r="P156" s="185"/>
      <c r="Q156" s="225"/>
      <c r="R156" s="182" t="str">
        <f ca="1">IF(ISERROR($V156),"",OFFSET('Smelter Look-up'!$C$4,$V156-4,0)&amp;"")</f>
        <v/>
      </c>
      <c r="S156" s="181" t="str">
        <f t="shared" ca="1" si="20"/>
        <v>CN</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si="21"/>
        <v>0</v>
      </c>
      <c r="AB156" s="228" t="str">
        <f t="shared" si="22"/>
        <v>GoldZhongshan Poison Material Proprietary Co., Ltd.</v>
      </c>
    </row>
    <row r="157" spans="1:28" s="227" customFormat="1" ht="25.5">
      <c r="A157" s="181" t="s">
        <v>16239</v>
      </c>
      <c r="B157" s="182" t="s">
        <v>1098</v>
      </c>
      <c r="C157" s="186" t="s">
        <v>16240</v>
      </c>
      <c r="D157" s="230" t="s">
        <v>16240</v>
      </c>
      <c r="E157" s="182" t="s">
        <v>1069</v>
      </c>
      <c r="F157" s="182" t="s">
        <v>16239</v>
      </c>
      <c r="G157" s="182" t="s">
        <v>13177</v>
      </c>
      <c r="H157" s="183" t="s">
        <v>15840</v>
      </c>
      <c r="I157" s="184" t="s">
        <v>15840</v>
      </c>
      <c r="J157" s="184" t="s">
        <v>15840</v>
      </c>
      <c r="K157" s="224"/>
      <c r="L157" s="224"/>
      <c r="M157" s="224"/>
      <c r="N157" s="224"/>
      <c r="O157" s="224"/>
      <c r="P157" s="185"/>
      <c r="Q157" s="225"/>
      <c r="R157" s="182" t="str">
        <f ca="1">IF(ISERROR($V157),"",OFFSET('Smelter Look-up'!$C$4,$V157-4,0)&amp;"")</f>
        <v/>
      </c>
      <c r="S157" s="181" t="str">
        <f t="shared" ca="1" si="20"/>
        <v>CN</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si="21"/>
        <v>0</v>
      </c>
      <c r="AB157" s="228" t="str">
        <f t="shared" si="22"/>
        <v>GoldZhuhai toxic materials Monopoly Ltd.</v>
      </c>
    </row>
    <row r="158" spans="1:28" s="227" customFormat="1" ht="25.5">
      <c r="A158" s="181" t="s">
        <v>16241</v>
      </c>
      <c r="B158" s="182" t="s">
        <v>1100</v>
      </c>
      <c r="C158" s="186" t="s">
        <v>16242</v>
      </c>
      <c r="D158" s="230" t="s">
        <v>16242</v>
      </c>
      <c r="E158" s="182" t="s">
        <v>1069</v>
      </c>
      <c r="F158" s="182" t="s">
        <v>16241</v>
      </c>
      <c r="G158" s="182" t="s">
        <v>13177</v>
      </c>
      <c r="H158" s="183" t="s">
        <v>15840</v>
      </c>
      <c r="I158" s="184" t="s">
        <v>15840</v>
      </c>
      <c r="J158" s="184" t="s">
        <v>15840</v>
      </c>
      <c r="K158" s="224"/>
      <c r="L158" s="224"/>
      <c r="M158" s="224"/>
      <c r="N158" s="224"/>
      <c r="O158" s="224"/>
      <c r="P158" s="185"/>
      <c r="Q158" s="225"/>
      <c r="R158" s="182" t="str">
        <f ca="1">IF(ISERROR($V158),"",OFFSET('Smelter Look-up'!$C$4,$V158-4,0)&amp;"")</f>
        <v/>
      </c>
      <c r="S158" s="181" t="str">
        <f t="shared" ca="1" si="20"/>
        <v>CN</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si="21"/>
        <v>0</v>
      </c>
      <c r="AB158" s="228" t="str">
        <f t="shared" si="22"/>
        <v>TantalumZhuzhou Cemented Carbide Group Co., Ltd.</v>
      </c>
    </row>
    <row r="159" spans="1:28" s="227" customFormat="1" ht="20.25">
      <c r="A159" s="181" t="s">
        <v>16243</v>
      </c>
      <c r="B159" s="182" t="s">
        <v>1101</v>
      </c>
      <c r="C159" s="186" t="s">
        <v>16244</v>
      </c>
      <c r="D159" s="230" t="s">
        <v>16244</v>
      </c>
      <c r="E159" s="182" t="s">
        <v>1069</v>
      </c>
      <c r="F159" s="182" t="s">
        <v>16243</v>
      </c>
      <c r="G159" s="182" t="s">
        <v>13177</v>
      </c>
      <c r="H159" s="183" t="s">
        <v>15840</v>
      </c>
      <c r="I159" s="184" t="s">
        <v>15840</v>
      </c>
      <c r="J159" s="184" t="s">
        <v>15840</v>
      </c>
      <c r="K159" s="224"/>
      <c r="L159" s="224"/>
      <c r="M159" s="224"/>
      <c r="N159" s="224"/>
      <c r="O159" s="224"/>
      <c r="P159" s="185"/>
      <c r="Q159" s="225"/>
      <c r="R159" s="182" t="str">
        <f ca="1">IF(ISERROR($V159),"",OFFSET('Smelter Look-up'!$C$4,$V159-4,0)&amp;"")</f>
        <v/>
      </c>
      <c r="S159" s="181" t="str">
        <f t="shared" ca="1" si="20"/>
        <v>CN</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si="21"/>
        <v>0</v>
      </c>
      <c r="AB159" s="228" t="str">
        <f t="shared" si="22"/>
        <v>TungstenZhuzhou Cement Carbide</v>
      </c>
    </row>
    <row r="160" spans="1:28" s="227" customFormat="1" ht="89.25">
      <c r="A160" s="181" t="s">
        <v>727</v>
      </c>
      <c r="B160" s="182" t="s">
        <v>1098</v>
      </c>
      <c r="C160" s="186" t="s">
        <v>2448</v>
      </c>
      <c r="D160" s="230" t="s">
        <v>2448</v>
      </c>
      <c r="E160" s="182" t="s">
        <v>1069</v>
      </c>
      <c r="F160" s="182" t="s">
        <v>727</v>
      </c>
      <c r="G160" s="182" t="s">
        <v>13177</v>
      </c>
      <c r="H160" s="183" t="s">
        <v>16245</v>
      </c>
      <c r="I160" s="184" t="s">
        <v>1655</v>
      </c>
      <c r="J160" s="184" t="s">
        <v>13530</v>
      </c>
      <c r="K160" s="224" t="s">
        <v>16246</v>
      </c>
      <c r="L160" s="224" t="s">
        <v>16247</v>
      </c>
      <c r="M160" s="224"/>
      <c r="N160" s="224"/>
      <c r="O160" s="224" t="s">
        <v>16248</v>
      </c>
      <c r="P160" s="185"/>
      <c r="Q160" s="225"/>
      <c r="R160" s="182" t="str">
        <f ca="1">IF(ISERROR($V160),"",OFFSET('Smelter Look-up'!$C$4,$V160-4,0)&amp;"")</f>
        <v>Gold Refinery of Zijin Mining Group Co., Ltd.</v>
      </c>
      <c r="S160" s="181" t="str">
        <f t="shared" ca="1" si="20"/>
        <v>CN</v>
      </c>
      <c r="T160" s="181" t="str">
        <f ca="1">IF(B160="","",IF(ISERROR(MATCH($J160,SorP!$B$1:$B$6226,0)),"",INDIRECT("'SorP'!$A$"&amp;MATCH($S160&amp;$J160,SorP!C:C,0))))</f>
        <v>CN-FJ</v>
      </c>
      <c r="U160" s="201"/>
      <c r="V160" s="226">
        <f>IF(C160="",NA(),IF(OR(C160="Smelter not listed",C160="Smelter not yet identified"),MATCH($B160&amp;$D160,'Smelter Look-up'!$J:$J,0),MATCH($B160&amp;$C160,'Smelter Look-up'!$J:$J,0)))</f>
        <v>95</v>
      </c>
      <c r="X160" s="227">
        <f t="shared" si="21"/>
        <v>0</v>
      </c>
      <c r="AB160" s="228" t="str">
        <f t="shared" si="22"/>
        <v>GoldGold Refinery of Zijin Mining Group Co., Ltd.</v>
      </c>
    </row>
    <row r="161" spans="1:28" s="227" customFormat="1" ht="25.5">
      <c r="A161" s="181" t="s">
        <v>16249</v>
      </c>
      <c r="B161" s="182" t="s">
        <v>1099</v>
      </c>
      <c r="C161" s="186" t="s">
        <v>16250</v>
      </c>
      <c r="D161" s="230" t="s">
        <v>16250</v>
      </c>
      <c r="E161" s="182" t="s">
        <v>1069</v>
      </c>
      <c r="F161" s="182" t="s">
        <v>16249</v>
      </c>
      <c r="G161" s="182" t="s">
        <v>13177</v>
      </c>
      <c r="H161" s="183" t="s">
        <v>15840</v>
      </c>
      <c r="I161" s="184" t="s">
        <v>15840</v>
      </c>
      <c r="J161" s="184" t="s">
        <v>15840</v>
      </c>
      <c r="K161" s="224"/>
      <c r="L161" s="224"/>
      <c r="M161" s="224"/>
      <c r="N161" s="224"/>
      <c r="O161" s="224"/>
      <c r="P161" s="185"/>
      <c r="Q161" s="225"/>
      <c r="R161" s="182" t="str">
        <f ca="1">IF(ISERROR($V161),"",OFFSET('Smelter Look-up'!$C$4,$V161-4,0)&amp;"")</f>
        <v/>
      </c>
      <c r="S161" s="181" t="str">
        <f t="shared" ca="1" si="20"/>
        <v>CN</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si="21"/>
        <v>0</v>
      </c>
      <c r="AB161" s="228" t="str">
        <f t="shared" si="22"/>
        <v>TinGUANGXI HUA TIN GOLD MINUTE FEE, LTD.</v>
      </c>
    </row>
    <row r="162" spans="1:28" s="227" customFormat="1" ht="20.25">
      <c r="A162" s="181" t="s">
        <v>16251</v>
      </c>
      <c r="B162" s="182" t="s">
        <v>1099</v>
      </c>
      <c r="C162" s="186" t="s">
        <v>16252</v>
      </c>
      <c r="D162" s="230" t="s">
        <v>16252</v>
      </c>
      <c r="E162" s="182" t="s">
        <v>1069</v>
      </c>
      <c r="F162" s="182" t="s">
        <v>16251</v>
      </c>
      <c r="G162" s="182" t="s">
        <v>13177</v>
      </c>
      <c r="H162" s="183" t="s">
        <v>15840</v>
      </c>
      <c r="I162" s="184" t="s">
        <v>15840</v>
      </c>
      <c r="J162" s="184" t="s">
        <v>15840</v>
      </c>
      <c r="K162" s="224"/>
      <c r="L162" s="224"/>
      <c r="M162" s="224"/>
      <c r="N162" s="224"/>
      <c r="O162" s="224"/>
      <c r="P162" s="185"/>
      <c r="Q162" s="225"/>
      <c r="R162" s="182" t="str">
        <f ca="1">IF(ISERROR($V162),"",OFFSET('Smelter Look-up'!$C$4,$V162-4,0)&amp;"")</f>
        <v/>
      </c>
      <c r="S162" s="181" t="str">
        <f t="shared" ca="1" si="20"/>
        <v>CN</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si="21"/>
        <v>0</v>
      </c>
      <c r="AB162" s="228" t="str">
        <f t="shared" si="22"/>
        <v>TinLIAN JING</v>
      </c>
    </row>
    <row r="163" spans="1:28" s="227" customFormat="1" ht="20.25">
      <c r="A163" s="181" t="s">
        <v>16253</v>
      </c>
      <c r="B163" s="182" t="s">
        <v>1099</v>
      </c>
      <c r="C163" s="186" t="s">
        <v>16254</v>
      </c>
      <c r="D163" s="230" t="s">
        <v>16254</v>
      </c>
      <c r="E163" s="182" t="s">
        <v>1069</v>
      </c>
      <c r="F163" s="182" t="s">
        <v>16253</v>
      </c>
      <c r="G163" s="182" t="s">
        <v>13177</v>
      </c>
      <c r="H163" s="183" t="s">
        <v>15840</v>
      </c>
      <c r="I163" s="184" t="s">
        <v>15840</v>
      </c>
      <c r="J163" s="184" t="s">
        <v>15840</v>
      </c>
      <c r="K163" s="224"/>
      <c r="L163" s="224"/>
      <c r="M163" s="224"/>
      <c r="N163" s="224"/>
      <c r="O163" s="224"/>
      <c r="P163" s="185"/>
      <c r="Q163" s="225"/>
      <c r="R163" s="182" t="str">
        <f ca="1">IF(ISERROR($V163),"",OFFSET('Smelter Look-up'!$C$4,$V163-4,0)&amp;"")</f>
        <v/>
      </c>
      <c r="S163" s="181" t="str">
        <f t="shared" ca="1" si="20"/>
        <v>CN</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si="21"/>
        <v>0</v>
      </c>
      <c r="AB163" s="228" t="str">
        <f t="shared" si="22"/>
        <v>TinYunnan Malipo Baiyi Kuangye Co.</v>
      </c>
    </row>
    <row r="164" spans="1:28" s="227" customFormat="1" ht="25.5">
      <c r="A164" s="181" t="s">
        <v>658</v>
      </c>
      <c r="B164" s="182" t="s">
        <v>1098</v>
      </c>
      <c r="C164" s="186" t="s">
        <v>657</v>
      </c>
      <c r="D164" s="230" t="s">
        <v>657</v>
      </c>
      <c r="E164" s="182" t="s">
        <v>1069</v>
      </c>
      <c r="F164" s="182" t="s">
        <v>658</v>
      </c>
      <c r="G164" s="182" t="s">
        <v>13177</v>
      </c>
      <c r="H164" s="183"/>
      <c r="I164" s="184" t="s">
        <v>1657</v>
      </c>
      <c r="J164" s="184" t="s">
        <v>13536</v>
      </c>
      <c r="K164" s="224"/>
      <c r="L164" s="224"/>
      <c r="M164" s="224"/>
      <c r="N164" s="224"/>
      <c r="O164" s="224" t="s">
        <v>16255</v>
      </c>
      <c r="P164" s="185"/>
      <c r="Q164" s="225"/>
      <c r="R164" s="182" t="str">
        <f ca="1">IF(ISERROR($V164),"",OFFSET('Smelter Look-up'!$C$4,$V164-4,0)&amp;"")</f>
        <v>Guangdong Jinding Gold Limited</v>
      </c>
      <c r="S164" s="181" t="str">
        <f t="shared" ca="1" si="20"/>
        <v>CN</v>
      </c>
      <c r="T164" s="181" t="str">
        <f ca="1">IF(B164="","",IF(ISERROR(MATCH($J164,SorP!$B$1:$B$6226,0)),"",INDIRECT("'SorP'!$A$"&amp;MATCH($S164&amp;$J164,SorP!C:C,0))))</f>
        <v>CN-GD</v>
      </c>
      <c r="U164" s="201"/>
      <c r="V164" s="226">
        <f>IF(C164="",NA(),IF(OR(C164="Smelter not listed",C164="Smelter not yet identified"),MATCH($B164&amp;$D164,'Smelter Look-up'!$J:$J,0),MATCH($B164&amp;$C164,'Smelter Look-up'!$J:$J,0)))</f>
        <v>99</v>
      </c>
      <c r="X164" s="227">
        <f t="shared" si="21"/>
        <v>0</v>
      </c>
      <c r="AB164" s="228" t="str">
        <f t="shared" si="22"/>
        <v>GoldGuangdong Jinding Gold Limited</v>
      </c>
    </row>
    <row r="165" spans="1:28" s="227" customFormat="1" ht="25.5">
      <c r="A165" s="181" t="s">
        <v>778</v>
      </c>
      <c r="B165" s="182" t="s">
        <v>1101</v>
      </c>
      <c r="C165" s="186" t="s">
        <v>789</v>
      </c>
      <c r="D165" s="230" t="s">
        <v>789</v>
      </c>
      <c r="E165" s="182" t="s">
        <v>1069</v>
      </c>
      <c r="F165" s="182" t="s">
        <v>778</v>
      </c>
      <c r="G165" s="182" t="s">
        <v>13177</v>
      </c>
      <c r="H165" s="183"/>
      <c r="I165" s="184" t="s">
        <v>1789</v>
      </c>
      <c r="J165" s="184" t="s">
        <v>13531</v>
      </c>
      <c r="K165" s="224"/>
      <c r="L165" s="224"/>
      <c r="M165" s="224"/>
      <c r="N165" s="224"/>
      <c r="O165" s="224" t="s">
        <v>16256</v>
      </c>
      <c r="P165" s="185"/>
      <c r="Q165" s="225"/>
      <c r="R165" s="182" t="str">
        <f ca="1">IF(ISERROR($V165),"",OFFSET('Smelter Look-up'!$C$4,$V165-4,0)&amp;"")</f>
        <v>Jiangxi Minmetals Gao'an Non-ferrous Metals Co., Ltd.</v>
      </c>
      <c r="S165" s="181" t="str">
        <f t="shared" ca="1" si="20"/>
        <v>CN</v>
      </c>
      <c r="T165" s="181" t="str">
        <f ca="1">IF(B165="","",IF(ISERROR(MATCH($J165,SorP!$B$1:$B$6226,0)),"",INDIRECT("'SorP'!$A$"&amp;MATCH($S165&amp;$J165,SorP!C:C,0))))</f>
        <v>CN-JX</v>
      </c>
      <c r="U165" s="201"/>
      <c r="V165" s="226">
        <f>IF(C165="",NA(),IF(OR(C165="Smelter not listed",C165="Smelter not yet identified"),MATCH($B165&amp;$D165,'Smelter Look-up'!$J:$J,0),MATCH($B165&amp;$C165,'Smelter Look-up'!$J:$J,0)))</f>
        <v>594</v>
      </c>
      <c r="X165" s="227">
        <f t="shared" si="21"/>
        <v>0</v>
      </c>
      <c r="AB165" s="228" t="str">
        <f t="shared" si="22"/>
        <v>TungstenJiangxi Minmetals Gao'an Non-ferrous Metals Co., Ltd.</v>
      </c>
    </row>
    <row r="166" spans="1:28" s="227" customFormat="1" ht="20.25">
      <c r="A166" s="181" t="s">
        <v>16257</v>
      </c>
      <c r="B166" s="182" t="s">
        <v>1099</v>
      </c>
      <c r="C166" s="186" t="s">
        <v>16258</v>
      </c>
      <c r="D166" s="230" t="s">
        <v>16258</v>
      </c>
      <c r="E166" s="182" t="s">
        <v>1069</v>
      </c>
      <c r="F166" s="182" t="s">
        <v>16257</v>
      </c>
      <c r="G166" s="182" t="s">
        <v>13177</v>
      </c>
      <c r="H166" s="183" t="s">
        <v>15840</v>
      </c>
      <c r="I166" s="184" t="s">
        <v>15840</v>
      </c>
      <c r="J166" s="184" t="s">
        <v>15840</v>
      </c>
      <c r="K166" s="224"/>
      <c r="L166" s="224"/>
      <c r="M166" s="224"/>
      <c r="N166" s="224"/>
      <c r="O166" s="224"/>
      <c r="P166" s="185"/>
      <c r="Q166" s="225"/>
      <c r="R166" s="182" t="str">
        <f ca="1">IF(ISERROR($V166),"",OFFSET('Smelter Look-up'!$C$4,$V166-4,0)&amp;"")</f>
        <v/>
      </c>
      <c r="S166" s="181" t="str">
        <f t="shared" ref="S166:S196" ca="1" si="23">IF(B166="","",IF(ISERROR(MATCH($E166,CL,0)),"Unknown",INDIRECT("'C'!$A$"&amp;MATCH($E166,CL,0)+1)))</f>
        <v>CN</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si="24">IF(AND(C166="Smelter not listed",OR(LEN(D166)=0,LEN(E166)=0)),1,0)</f>
        <v>0</v>
      </c>
      <c r="AB166" s="228" t="str">
        <f t="shared" ref="AB166:AB196" si="25">B166&amp;C166</f>
        <v>TinSigma Tin Alloy Co., Ltd.</v>
      </c>
    </row>
    <row r="167" spans="1:28" s="227" customFormat="1" ht="25.5">
      <c r="A167" s="181" t="s">
        <v>16259</v>
      </c>
      <c r="B167" s="182" t="s">
        <v>1099</v>
      </c>
      <c r="C167" s="186" t="s">
        <v>16260</v>
      </c>
      <c r="D167" s="230" t="s">
        <v>16260</v>
      </c>
      <c r="E167" s="182" t="s">
        <v>1069</v>
      </c>
      <c r="F167" s="182" t="s">
        <v>16259</v>
      </c>
      <c r="G167" s="182" t="s">
        <v>13177</v>
      </c>
      <c r="H167" s="183" t="s">
        <v>15840</v>
      </c>
      <c r="I167" s="184" t="s">
        <v>15840</v>
      </c>
      <c r="J167" s="184" t="s">
        <v>15840</v>
      </c>
      <c r="K167" s="224"/>
      <c r="L167" s="224"/>
      <c r="M167" s="224"/>
      <c r="N167" s="224"/>
      <c r="O167" s="224"/>
      <c r="P167" s="185"/>
      <c r="Q167" s="225"/>
      <c r="R167" s="182" t="str">
        <f ca="1">IF(ISERROR($V167),"",OFFSET('Smelter Look-up'!$C$4,$V167-4,0)&amp;"")</f>
        <v/>
      </c>
      <c r="S167" s="181" t="str">
        <f t="shared" ca="1" si="23"/>
        <v>CN</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si="24"/>
        <v>0</v>
      </c>
      <c r="AB167" s="228" t="str">
        <f t="shared" si="25"/>
        <v>TinXiamen Honglu Tungsten Molybdenum Co., Ltd.</v>
      </c>
    </row>
    <row r="168" spans="1:28" s="227" customFormat="1" ht="25.5">
      <c r="A168" s="181" t="s">
        <v>16261</v>
      </c>
      <c r="B168" s="182" t="s">
        <v>1098</v>
      </c>
      <c r="C168" s="186" t="s">
        <v>16262</v>
      </c>
      <c r="D168" s="230" t="s">
        <v>16262</v>
      </c>
      <c r="E168" s="182" t="s">
        <v>1069</v>
      </c>
      <c r="F168" s="182" t="s">
        <v>16261</v>
      </c>
      <c r="G168" s="182" t="s">
        <v>13177</v>
      </c>
      <c r="H168" s="183" t="s">
        <v>15840</v>
      </c>
      <c r="I168" s="184" t="s">
        <v>15840</v>
      </c>
      <c r="J168" s="184" t="s">
        <v>15840</v>
      </c>
      <c r="K168" s="224"/>
      <c r="L168" s="224"/>
      <c r="M168" s="224"/>
      <c r="N168" s="224"/>
      <c r="O168" s="224"/>
      <c r="P168" s="185"/>
      <c r="Q168" s="225"/>
      <c r="R168" s="182" t="str">
        <f ca="1">IF(ISERROR($V168),"",OFFSET('Smelter Look-up'!$C$4,$V168-4,0)&amp;"")</f>
        <v/>
      </c>
      <c r="S168" s="181" t="str">
        <f t="shared" ca="1" si="23"/>
        <v>CN</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si="24"/>
        <v>0</v>
      </c>
      <c r="AB168" s="228" t="str">
        <f t="shared" si="25"/>
        <v>GoldYunnan Gold Mining Group Co., Ltd. (YGMG)</v>
      </c>
    </row>
    <row r="169" spans="1:28" s="227" customFormat="1" ht="76.5">
      <c r="A169" s="181" t="s">
        <v>1370</v>
      </c>
      <c r="B169" s="182" t="s">
        <v>1101</v>
      </c>
      <c r="C169" s="186" t="s">
        <v>15354</v>
      </c>
      <c r="D169" s="230" t="s">
        <v>15354</v>
      </c>
      <c r="E169" s="182" t="s">
        <v>1069</v>
      </c>
      <c r="F169" s="182" t="s">
        <v>1370</v>
      </c>
      <c r="G169" s="182" t="s">
        <v>13177</v>
      </c>
      <c r="H169" s="183" t="s">
        <v>16263</v>
      </c>
      <c r="I169" s="184" t="s">
        <v>1733</v>
      </c>
      <c r="J169" s="184" t="s">
        <v>13535</v>
      </c>
      <c r="K169" s="224" t="s">
        <v>16264</v>
      </c>
      <c r="L169" s="224" t="s">
        <v>16265</v>
      </c>
      <c r="M169" s="224" t="s">
        <v>15826</v>
      </c>
      <c r="N169" s="224"/>
      <c r="O169" s="224" t="s">
        <v>16074</v>
      </c>
      <c r="P169" s="185" t="s">
        <v>476</v>
      </c>
      <c r="Q169" s="225"/>
      <c r="R169" s="182" t="str">
        <f ca="1">IF(ISERROR($V169),"",OFFSET('Smelter Look-up'!$C$4,$V169-4,0)&amp;"")</f>
        <v>Hunan Shizhuyuan Nonferrous Metals Co., Ltd. Chenzhou Tungsten Products Branch</v>
      </c>
      <c r="S169" s="181" t="str">
        <f t="shared" ca="1" si="23"/>
        <v>CN</v>
      </c>
      <c r="T169" s="181" t="str">
        <f ca="1">IF(B169="","",IF(ISERROR(MATCH($J169,SorP!$B$1:$B$6226,0)),"",INDIRECT("'SorP'!$A$"&amp;MATCH($S169&amp;$J169,SorP!C:C,0))))</f>
        <v>CN-HN</v>
      </c>
      <c r="U169" s="201"/>
      <c r="V169" s="226">
        <f>IF(C169="",NA(),IF(OR(C169="Smelter not listed",C169="Smelter not yet identified"),MATCH($B169&amp;$D169,'Smelter Look-up'!$J:$J,0),MATCH($B169&amp;$C169,'Smelter Look-up'!$J:$J,0)))</f>
        <v>589</v>
      </c>
      <c r="X169" s="227">
        <f t="shared" si="24"/>
        <v>0</v>
      </c>
      <c r="AB169" s="228" t="str">
        <f t="shared" si="25"/>
        <v>TungstenHunan Shizhuyuan Nonferrous Metals Co., Ltd. Chenzhou Tungsten Products Branch</v>
      </c>
    </row>
    <row r="170" spans="1:28" s="227" customFormat="1" ht="25.5">
      <c r="A170" s="181" t="s">
        <v>16266</v>
      </c>
      <c r="B170" s="182" t="s">
        <v>1098</v>
      </c>
      <c r="C170" s="186" t="s">
        <v>16267</v>
      </c>
      <c r="D170" s="230" t="s">
        <v>16267</v>
      </c>
      <c r="E170" s="182" t="s">
        <v>1069</v>
      </c>
      <c r="F170" s="182" t="s">
        <v>16266</v>
      </c>
      <c r="G170" s="182" t="s">
        <v>13177</v>
      </c>
      <c r="H170" s="183" t="s">
        <v>15840</v>
      </c>
      <c r="I170" s="184" t="s">
        <v>15840</v>
      </c>
      <c r="J170" s="184" t="s">
        <v>15840</v>
      </c>
      <c r="K170" s="224"/>
      <c r="L170" s="224"/>
      <c r="M170" s="224"/>
      <c r="N170" s="224"/>
      <c r="O170" s="224"/>
      <c r="P170" s="185"/>
      <c r="Q170" s="225"/>
      <c r="R170" s="182" t="str">
        <f ca="1">IF(ISERROR($V170),"",OFFSET('Smelter Look-up'!$C$4,$V170-4,0)&amp;"")</f>
        <v/>
      </c>
      <c r="S170" s="181" t="str">
        <f t="shared" ca="1" si="23"/>
        <v>CN</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si="24"/>
        <v>0</v>
      </c>
      <c r="AB170" s="228" t="str">
        <f t="shared" si="25"/>
        <v>GoldHenan Yuguang Gold &amp; Lead Co., Ltd.</v>
      </c>
    </row>
    <row r="171" spans="1:28" s="227" customFormat="1" ht="25.5">
      <c r="A171" s="181" t="s">
        <v>13706</v>
      </c>
      <c r="B171" s="182" t="s">
        <v>1098</v>
      </c>
      <c r="C171" s="186" t="s">
        <v>13705</v>
      </c>
      <c r="D171" s="230" t="s">
        <v>13705</v>
      </c>
      <c r="E171" s="182" t="s">
        <v>1069</v>
      </c>
      <c r="F171" s="182" t="s">
        <v>13706</v>
      </c>
      <c r="G171" s="182" t="s">
        <v>13177</v>
      </c>
      <c r="H171" s="183"/>
      <c r="I171" s="184" t="s">
        <v>1621</v>
      </c>
      <c r="J171" s="184" t="s">
        <v>13532</v>
      </c>
      <c r="K171" s="224"/>
      <c r="L171" s="224"/>
      <c r="M171" s="224"/>
      <c r="N171" s="224"/>
      <c r="O171" s="224" t="s">
        <v>15948</v>
      </c>
      <c r="P171" s="185"/>
      <c r="Q171" s="225"/>
      <c r="R171" s="182" t="str">
        <f ca="1">IF(ISERROR($V171),"",OFFSET('Smelter Look-up'!$C$4,$V171-4,0)&amp;"")</f>
        <v>Shandong Humon Smelting Co., Ltd.</v>
      </c>
      <c r="S171" s="181" t="str">
        <f t="shared" ca="1" si="23"/>
        <v>CN</v>
      </c>
      <c r="T171" s="181" t="str">
        <f ca="1">IF(B171="","",IF(ISERROR(MATCH($J171,SorP!$B$1:$B$6226,0)),"",INDIRECT("'SorP'!$A$"&amp;MATCH($S171&amp;$J171,SorP!C:C,0))))</f>
        <v>CN-SD</v>
      </c>
      <c r="U171" s="201"/>
      <c r="V171" s="226">
        <f>IF(C171="",NA(),IF(OR(C171="Smelter not listed",C171="Smelter not yet identified"),MATCH($B171&amp;$D171,'Smelter Look-up'!$J:$J,0),MATCH($B171&amp;$C171,'Smelter Look-up'!$J:$J,0)))</f>
        <v>250</v>
      </c>
      <c r="X171" s="227">
        <f t="shared" si="24"/>
        <v>0</v>
      </c>
      <c r="AB171" s="228" t="str">
        <f t="shared" si="25"/>
        <v>GoldShandong Humon Smelting Co., Ltd.</v>
      </c>
    </row>
    <row r="172" spans="1:28" s="227" customFormat="1" ht="25.5">
      <c r="A172" s="181" t="s">
        <v>14942</v>
      </c>
      <c r="B172" s="182" t="s">
        <v>1098</v>
      </c>
      <c r="C172" s="186" t="s">
        <v>14941</v>
      </c>
      <c r="D172" s="230" t="s">
        <v>14941</v>
      </c>
      <c r="E172" s="182" t="s">
        <v>1069</v>
      </c>
      <c r="F172" s="182" t="s">
        <v>14942</v>
      </c>
      <c r="G172" s="182" t="s">
        <v>13177</v>
      </c>
      <c r="H172" s="183"/>
      <c r="I172" s="184" t="s">
        <v>14983</v>
      </c>
      <c r="J172" s="184" t="s">
        <v>16268</v>
      </c>
      <c r="K172" s="224"/>
      <c r="L172" s="224"/>
      <c r="M172" s="224"/>
      <c r="N172" s="224"/>
      <c r="O172" s="224" t="s">
        <v>15948</v>
      </c>
      <c r="P172" s="185"/>
      <c r="Q172" s="225"/>
      <c r="R172" s="182" t="str">
        <f ca="1">IF(ISERROR($V172),"",OFFSET('Smelter Look-up'!$C$4,$V172-4,0)&amp;"")</f>
        <v>Shenzhen Zhonghenglong Real Industry Co., Ltd.</v>
      </c>
      <c r="S172" s="181" t="str">
        <f t="shared" ca="1" si="23"/>
        <v>CN</v>
      </c>
      <c r="T172" s="181" t="str">
        <f ca="1">IF(B172="","",IF(ISERROR(MATCH($J172,SorP!$B$1:$B$6226,0)),"",INDIRECT("'SorP'!$A$"&amp;MATCH($S172&amp;$J172,SorP!C:C,0))))</f>
        <v/>
      </c>
      <c r="U172" s="201"/>
      <c r="V172" s="226">
        <f>IF(C172="",NA(),IF(OR(C172="Smelter not listed",C172="Smelter not yet identified"),MATCH($B172&amp;$D172,'Smelter Look-up'!$J:$J,0),MATCH($B172&amp;$C172,'Smelter Look-up'!$J:$J,0)))</f>
        <v>258</v>
      </c>
      <c r="X172" s="227">
        <f t="shared" si="24"/>
        <v>0</v>
      </c>
      <c r="AB172" s="228" t="str">
        <f t="shared" si="25"/>
        <v>GoldShenzhen Zhonghenglong Real Industry Co., Ltd.</v>
      </c>
    </row>
    <row r="173" spans="1:28" s="227" customFormat="1" ht="20.25">
      <c r="A173" s="181" t="s">
        <v>16269</v>
      </c>
      <c r="B173" s="182" t="s">
        <v>1098</v>
      </c>
      <c r="C173" s="186" t="s">
        <v>16270</v>
      </c>
      <c r="D173" s="230" t="s">
        <v>16270</v>
      </c>
      <c r="E173" s="182" t="s">
        <v>1069</v>
      </c>
      <c r="F173" s="182" t="s">
        <v>16269</v>
      </c>
      <c r="G173" s="182" t="s">
        <v>13177</v>
      </c>
      <c r="H173" s="183" t="s">
        <v>15840</v>
      </c>
      <c r="I173" s="184" t="s">
        <v>15840</v>
      </c>
      <c r="J173" s="184" t="s">
        <v>15840</v>
      </c>
      <c r="K173" s="224"/>
      <c r="L173" s="224"/>
      <c r="M173" s="224"/>
      <c r="N173" s="224"/>
      <c r="O173" s="224"/>
      <c r="P173" s="185"/>
      <c r="Q173" s="225"/>
      <c r="R173" s="182" t="str">
        <f ca="1">IF(ISERROR($V173),"",OFFSET('Smelter Look-up'!$C$4,$V173-4,0)&amp;"")</f>
        <v/>
      </c>
      <c r="S173" s="181" t="str">
        <f t="shared" ca="1" si="23"/>
        <v>CN</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si="24"/>
        <v>0</v>
      </c>
      <c r="AB173" s="228" t="str">
        <f t="shared" si="25"/>
        <v>GoldZhuzhou Smelting Group Co., Ltd</v>
      </c>
    </row>
    <row r="174" spans="1:28" s="227" customFormat="1" ht="25.5">
      <c r="A174" s="181" t="s">
        <v>16271</v>
      </c>
      <c r="B174" s="182" t="s">
        <v>1098</v>
      </c>
      <c r="C174" s="186" t="s">
        <v>16272</v>
      </c>
      <c r="D174" s="230" t="s">
        <v>16272</v>
      </c>
      <c r="E174" s="182" t="s">
        <v>1069</v>
      </c>
      <c r="F174" s="182" t="s">
        <v>16271</v>
      </c>
      <c r="G174" s="182" t="s">
        <v>13177</v>
      </c>
      <c r="H174" s="183" t="s">
        <v>15840</v>
      </c>
      <c r="I174" s="184" t="s">
        <v>15840</v>
      </c>
      <c r="J174" s="184" t="s">
        <v>15840</v>
      </c>
      <c r="K174" s="224"/>
      <c r="L174" s="224"/>
      <c r="M174" s="224"/>
      <c r="N174" s="224"/>
      <c r="O174" s="224"/>
      <c r="P174" s="185"/>
      <c r="Q174" s="225"/>
      <c r="R174" s="182" t="str">
        <f ca="1">IF(ISERROR($V174),"",OFFSET('Smelter Look-up'!$C$4,$V174-4,0)&amp;"")</f>
        <v/>
      </c>
      <c r="S174" s="181" t="str">
        <f t="shared" ca="1" si="23"/>
        <v>CN</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si="24"/>
        <v>0</v>
      </c>
      <c r="AB174" s="228" t="str">
        <f t="shared" si="25"/>
        <v>GoldShandong Yanggu Xiangguang Co., Ltd.</v>
      </c>
    </row>
    <row r="175" spans="1:28" s="227" customFormat="1" ht="25.5">
      <c r="A175" s="181" t="s">
        <v>16273</v>
      </c>
      <c r="B175" s="182" t="s">
        <v>1099</v>
      </c>
      <c r="C175" s="186" t="s">
        <v>16274</v>
      </c>
      <c r="D175" s="230" t="s">
        <v>16274</v>
      </c>
      <c r="E175" s="182" t="s">
        <v>1069</v>
      </c>
      <c r="F175" s="182" t="s">
        <v>16273</v>
      </c>
      <c r="G175" s="182" t="s">
        <v>13177</v>
      </c>
      <c r="H175" s="183" t="s">
        <v>15840</v>
      </c>
      <c r="I175" s="184" t="s">
        <v>15840</v>
      </c>
      <c r="J175" s="184" t="s">
        <v>15840</v>
      </c>
      <c r="K175" s="224"/>
      <c r="L175" s="224"/>
      <c r="M175" s="224"/>
      <c r="N175" s="224"/>
      <c r="O175" s="224"/>
      <c r="P175" s="185"/>
      <c r="Q175" s="225"/>
      <c r="R175" s="182" t="str">
        <f ca="1">IF(ISERROR($V175),"",OFFSET('Smelter Look-up'!$C$4,$V175-4,0)&amp;"")</f>
        <v/>
      </c>
      <c r="S175" s="181" t="str">
        <f t="shared" ca="1" si="23"/>
        <v>CN</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si="24"/>
        <v>0</v>
      </c>
      <c r="AB175" s="228" t="str">
        <f t="shared" si="25"/>
        <v>TinHongqiao Metals (Kunshan) Co., Ltd.</v>
      </c>
    </row>
    <row r="176" spans="1:28" s="227" customFormat="1" ht="25.5">
      <c r="A176" s="181" t="s">
        <v>16275</v>
      </c>
      <c r="B176" s="182" t="s">
        <v>1101</v>
      </c>
      <c r="C176" s="186" t="s">
        <v>16276</v>
      </c>
      <c r="D176" s="230" t="s">
        <v>16276</v>
      </c>
      <c r="E176" s="182" t="s">
        <v>1069</v>
      </c>
      <c r="F176" s="182" t="s">
        <v>16275</v>
      </c>
      <c r="G176" s="182" t="s">
        <v>13177</v>
      </c>
      <c r="H176" s="183" t="s">
        <v>15840</v>
      </c>
      <c r="I176" s="184" t="s">
        <v>15840</v>
      </c>
      <c r="J176" s="184" t="s">
        <v>15840</v>
      </c>
      <c r="K176" s="224"/>
      <c r="L176" s="224"/>
      <c r="M176" s="224"/>
      <c r="N176" s="224"/>
      <c r="O176" s="224"/>
      <c r="P176" s="185"/>
      <c r="Q176" s="225"/>
      <c r="R176" s="182" t="str">
        <f ca="1">IF(ISERROR($V176),"",OFFSET('Smelter Look-up'!$C$4,$V176-4,0)&amp;"")</f>
        <v/>
      </c>
      <c r="S176" s="181" t="str">
        <f t="shared" ca="1" si="23"/>
        <v>CN</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si="24"/>
        <v>0</v>
      </c>
      <c r="AB176" s="228" t="str">
        <f t="shared" si="25"/>
        <v>TungstenGanzhou Beseem Ferrotungsten Co., Ltd.</v>
      </c>
    </row>
    <row r="177" spans="1:28" s="227" customFormat="1" ht="102">
      <c r="A177" s="181" t="s">
        <v>16277</v>
      </c>
      <c r="B177" s="182" t="s">
        <v>1101</v>
      </c>
      <c r="C177" s="186" t="s">
        <v>16278</v>
      </c>
      <c r="D177" s="230" t="s">
        <v>16278</v>
      </c>
      <c r="E177" s="182" t="s">
        <v>1069</v>
      </c>
      <c r="F177" s="182" t="s">
        <v>16277</v>
      </c>
      <c r="G177" s="182" t="s">
        <v>13177</v>
      </c>
      <c r="H177" s="183"/>
      <c r="I177" s="184" t="s">
        <v>1732</v>
      </c>
      <c r="J177" s="184" t="s">
        <v>13531</v>
      </c>
      <c r="K177" s="224"/>
      <c r="L177" s="224"/>
      <c r="M177" s="224"/>
      <c r="N177" s="224"/>
      <c r="O177" s="224" t="s">
        <v>16279</v>
      </c>
      <c r="P177" s="185"/>
      <c r="Q177" s="225"/>
      <c r="R177" s="182" t="str">
        <f ca="1">IF(ISERROR($V177),"",OFFSET('Smelter Look-up'!$C$4,$V177-4,0)&amp;"")</f>
        <v/>
      </c>
      <c r="S177" s="181" t="str">
        <f t="shared" ca="1" si="23"/>
        <v>CN</v>
      </c>
      <c r="T177" s="181" t="str">
        <f ca="1">IF(B177="","",IF(ISERROR(MATCH($J177,SorP!$B$1:$B$6226,0)),"",INDIRECT("'SorP'!$A$"&amp;MATCH($S177&amp;$J177,SorP!C:C,0))))</f>
        <v>CN-JX</v>
      </c>
      <c r="U177" s="201"/>
      <c r="V177" s="226" t="e">
        <f>IF(C177="",NA(),IF(OR(C177="Smelter not listed",C177="Smelter not yet identified"),MATCH($B177&amp;$D177,'Smelter Look-up'!$J:$J,0),MATCH($B177&amp;$C177,'Smelter Look-up'!$J:$J,0)))</f>
        <v>#N/A</v>
      </c>
      <c r="X177" s="227">
        <f t="shared" si="24"/>
        <v>0</v>
      </c>
      <c r="AB177" s="228" t="str">
        <f t="shared" si="25"/>
        <v>TungstenGanzhou Haichuang Tungsten Co., Ltd.</v>
      </c>
    </row>
    <row r="178" spans="1:28" s="227" customFormat="1" ht="20.25">
      <c r="A178" s="181" t="s">
        <v>15292</v>
      </c>
      <c r="B178" s="182" t="s">
        <v>1098</v>
      </c>
      <c r="C178" s="186" t="s">
        <v>15291</v>
      </c>
      <c r="D178" s="230" t="s">
        <v>15291</v>
      </c>
      <c r="E178" s="182" t="s">
        <v>1069</v>
      </c>
      <c r="F178" s="182" t="s">
        <v>15292</v>
      </c>
      <c r="G178" s="182" t="s">
        <v>13177</v>
      </c>
      <c r="H178" s="183"/>
      <c r="I178" s="184" t="s">
        <v>14983</v>
      </c>
      <c r="J178" s="184" t="s">
        <v>13536</v>
      </c>
      <c r="K178" s="224"/>
      <c r="L178" s="224"/>
      <c r="M178" s="224"/>
      <c r="N178" s="224"/>
      <c r="O178" s="224"/>
      <c r="P178" s="185"/>
      <c r="Q178" s="225"/>
      <c r="R178" s="182" t="str">
        <f ca="1">IF(ISERROR($V178),"",OFFSET('Smelter Look-up'!$C$4,$V178-4,0)&amp;"")</f>
        <v>Shenzhen CuiLu Gold Co., Ltd.</v>
      </c>
      <c r="S178" s="181" t="str">
        <f t="shared" ca="1" si="23"/>
        <v>CN</v>
      </c>
      <c r="T178" s="181" t="str">
        <f ca="1">IF(B178="","",IF(ISERROR(MATCH($J178,SorP!$B$1:$B$6226,0)),"",INDIRECT("'SorP'!$A$"&amp;MATCH($S178&amp;$J178,SorP!C:C,0))))</f>
        <v>CN-GD</v>
      </c>
      <c r="U178" s="201"/>
      <c r="V178" s="226">
        <f>IF(C178="",NA(),IF(OR(C178="Smelter not listed",C178="Smelter not yet identified"),MATCH($B178&amp;$D178,'Smelter Look-up'!$J:$J,0),MATCH($B178&amp;$C178,'Smelter Look-up'!$J:$J,0)))</f>
        <v>256</v>
      </c>
      <c r="X178" s="227">
        <f t="shared" si="24"/>
        <v>0</v>
      </c>
      <c r="AB178" s="228" t="str">
        <f t="shared" si="25"/>
        <v>GoldShenzhen CuiLu Gold Co., Ltd.</v>
      </c>
    </row>
    <row r="179" spans="1:28" s="227" customFormat="1" ht="20.25">
      <c r="A179" s="181" t="s">
        <v>16280</v>
      </c>
      <c r="B179" s="182" t="s">
        <v>1099</v>
      </c>
      <c r="C179" s="186" t="s">
        <v>16281</v>
      </c>
      <c r="D179" s="230" t="s">
        <v>16281</v>
      </c>
      <c r="E179" s="182" t="s">
        <v>1069</v>
      </c>
      <c r="F179" s="182" t="s">
        <v>16280</v>
      </c>
      <c r="G179" s="182" t="s">
        <v>13177</v>
      </c>
      <c r="H179" s="183" t="s">
        <v>15840</v>
      </c>
      <c r="I179" s="184" t="s">
        <v>15840</v>
      </c>
      <c r="J179" s="184" t="s">
        <v>15840</v>
      </c>
      <c r="K179" s="224"/>
      <c r="L179" s="224"/>
      <c r="M179" s="224"/>
      <c r="N179" s="224"/>
      <c r="O179" s="224"/>
      <c r="P179" s="185"/>
      <c r="Q179" s="225"/>
      <c r="R179" s="182" t="str">
        <f ca="1">IF(ISERROR($V179),"",OFFSET('Smelter Look-up'!$C$4,$V179-4,0)&amp;"")</f>
        <v/>
      </c>
      <c r="S179" s="181" t="str">
        <f t="shared" ca="1" si="23"/>
        <v>CN</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si="24"/>
        <v>0</v>
      </c>
      <c r="AB179" s="228" t="str">
        <f t="shared" si="25"/>
        <v>TinChofu Works</v>
      </c>
    </row>
    <row r="180" spans="1:28" s="227" customFormat="1" ht="25.5">
      <c r="A180" s="181" t="s">
        <v>16282</v>
      </c>
      <c r="B180" s="182" t="s">
        <v>1099</v>
      </c>
      <c r="C180" s="186" t="s">
        <v>1805</v>
      </c>
      <c r="D180" s="230" t="s">
        <v>143</v>
      </c>
      <c r="E180" s="182" t="s">
        <v>1069</v>
      </c>
      <c r="F180" s="182" t="s">
        <v>16282</v>
      </c>
      <c r="G180" s="182" t="s">
        <v>13177</v>
      </c>
      <c r="H180" s="183" t="s">
        <v>15840</v>
      </c>
      <c r="I180" s="184" t="s">
        <v>15840</v>
      </c>
      <c r="J180" s="184" t="s">
        <v>15840</v>
      </c>
      <c r="K180" s="224"/>
      <c r="L180" s="224"/>
      <c r="M180" s="224"/>
      <c r="N180" s="224"/>
      <c r="O180" s="224"/>
      <c r="P180" s="185"/>
      <c r="Q180" s="225"/>
      <c r="R180" s="182" t="str">
        <f ca="1">IF(ISERROR($V180),"",OFFSET('Smelter Look-up'!$C$4,$V180-4,0)&amp;"")</f>
        <v/>
      </c>
      <c r="S180" s="181" t="str">
        <f t="shared" ca="1" si="23"/>
        <v>CN</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si="24"/>
        <v>0</v>
      </c>
      <c r="AB180" s="228" t="str">
        <f t="shared" si="25"/>
        <v>TinSmelter not listed</v>
      </c>
    </row>
    <row r="181" spans="1:28" s="227" customFormat="1" ht="38.25">
      <c r="A181" s="181" t="s">
        <v>16283</v>
      </c>
      <c r="B181" s="182" t="s">
        <v>1101</v>
      </c>
      <c r="C181" s="186" t="s">
        <v>16284</v>
      </c>
      <c r="D181" s="230" t="s">
        <v>16284</v>
      </c>
      <c r="E181" s="182" t="s">
        <v>1069</v>
      </c>
      <c r="F181" s="182" t="s">
        <v>16283</v>
      </c>
      <c r="G181" s="182" t="s">
        <v>13177</v>
      </c>
      <c r="H181" s="183"/>
      <c r="I181" s="184" t="s">
        <v>1732</v>
      </c>
      <c r="J181" s="184" t="s">
        <v>13531</v>
      </c>
      <c r="K181" s="224"/>
      <c r="L181" s="224"/>
      <c r="M181" s="224"/>
      <c r="N181" s="224"/>
      <c r="O181" s="224" t="s">
        <v>16285</v>
      </c>
      <c r="P181" s="185"/>
      <c r="Q181" s="225"/>
      <c r="R181" s="182" t="str">
        <f ca="1">IF(ISERROR($V181),"",OFFSET('Smelter Look-up'!$C$4,$V181-4,0)&amp;"")</f>
        <v/>
      </c>
      <c r="S181" s="181" t="str">
        <f t="shared" ca="1" si="23"/>
        <v>CN</v>
      </c>
      <c r="T181" s="181" t="str">
        <f ca="1">IF(B181="","",IF(ISERROR(MATCH($J181,SorP!$B$1:$B$6226,0)),"",INDIRECT("'SorP'!$A$"&amp;MATCH($S181&amp;$J181,SorP!C:C,0))))</f>
        <v>CN-JX</v>
      </c>
      <c r="U181" s="201"/>
      <c r="V181" s="226" t="e">
        <f>IF(C181="",NA(),IF(OR(C181="Smelter not listed",C181="Smelter not yet identified"),MATCH($B181&amp;$D181,'Smelter Look-up'!$J:$J,0),MATCH($B181&amp;$C181,'Smelter Look-up'!$J:$J,0)))</f>
        <v>#N/A</v>
      </c>
      <c r="X181" s="227">
        <f t="shared" si="24"/>
        <v>0</v>
      </c>
      <c r="AB181" s="228" t="str">
        <f t="shared" si="25"/>
        <v>TungstenXinfeng Huarui Tungsten &amp; Molybdenum New Material Co., Ltd.</v>
      </c>
    </row>
    <row r="182" spans="1:28" s="227" customFormat="1" ht="25.5">
      <c r="A182" s="181" t="s">
        <v>16286</v>
      </c>
      <c r="B182" s="182" t="s">
        <v>1098</v>
      </c>
      <c r="C182" s="186" t="s">
        <v>16287</v>
      </c>
      <c r="D182" s="230" t="s">
        <v>16287</v>
      </c>
      <c r="E182" s="182" t="s">
        <v>1069</v>
      </c>
      <c r="F182" s="182" t="s">
        <v>16286</v>
      </c>
      <c r="G182" s="182" t="s">
        <v>13177</v>
      </c>
      <c r="H182" s="183" t="s">
        <v>15840</v>
      </c>
      <c r="I182" s="184" t="s">
        <v>15840</v>
      </c>
      <c r="J182" s="184" t="s">
        <v>15840</v>
      </c>
      <c r="K182" s="224"/>
      <c r="L182" s="224"/>
      <c r="M182" s="224"/>
      <c r="N182" s="224"/>
      <c r="O182" s="224"/>
      <c r="P182" s="185"/>
      <c r="Q182" s="225"/>
      <c r="R182" s="182" t="str">
        <f ca="1">IF(ISERROR($V182),"",OFFSET('Smelter Look-up'!$C$4,$V182-4,0)&amp;"")</f>
        <v/>
      </c>
      <c r="S182" s="181" t="str">
        <f t="shared" ca="1" si="23"/>
        <v>CN</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si="24"/>
        <v>0</v>
      </c>
      <c r="AB182" s="228" t="str">
        <f t="shared" si="25"/>
        <v>GoldHung Cheong Metal Manufacturing Limited</v>
      </c>
    </row>
    <row r="183" spans="1:28" s="227" customFormat="1" ht="25.5">
      <c r="A183" s="181" t="s">
        <v>13710</v>
      </c>
      <c r="B183" s="182" t="s">
        <v>1099</v>
      </c>
      <c r="C183" s="186" t="s">
        <v>13709</v>
      </c>
      <c r="D183" s="230" t="s">
        <v>13709</v>
      </c>
      <c r="E183" s="182" t="s">
        <v>1069</v>
      </c>
      <c r="F183" s="182" t="s">
        <v>13710</v>
      </c>
      <c r="G183" s="182" t="s">
        <v>13177</v>
      </c>
      <c r="H183" s="183"/>
      <c r="I183" s="184" t="s">
        <v>13736</v>
      </c>
      <c r="J183" s="184" t="s">
        <v>13536</v>
      </c>
      <c r="K183" s="224"/>
      <c r="L183" s="224"/>
      <c r="M183" s="224"/>
      <c r="N183" s="224"/>
      <c r="O183" s="224" t="s">
        <v>15948</v>
      </c>
      <c r="P183" s="185"/>
      <c r="Q183" s="225"/>
      <c r="R183" s="182" t="str">
        <f ca="1">IF(ISERROR($V183),"",OFFSET('Smelter Look-up'!$C$4,$V183-4,0)&amp;"")</f>
        <v>Dongguan CiEXPO Environmental Engineering Co., Ltd.</v>
      </c>
      <c r="S183" s="181" t="str">
        <f t="shared" ca="1" si="23"/>
        <v>CN</v>
      </c>
      <c r="T183" s="181" t="str">
        <f ca="1">IF(B183="","",IF(ISERROR(MATCH($J183,SorP!$B$1:$B$6226,0)),"",INDIRECT("'SorP'!$A$"&amp;MATCH($S183&amp;$J183,SorP!C:C,0))))</f>
        <v>CN-GD</v>
      </c>
      <c r="U183" s="201"/>
      <c r="V183" s="226">
        <f>IF(C183="",NA(),IF(OR(C183="Smelter not listed",C183="Smelter not yet identified"),MATCH($B183&amp;$D183,'Smelter Look-up'!$J:$J,0),MATCH($B183&amp;$C183,'Smelter Look-up'!$J:$J,0)))</f>
        <v>423</v>
      </c>
      <c r="X183" s="227">
        <f t="shared" si="24"/>
        <v>0</v>
      </c>
      <c r="AB183" s="228" t="str">
        <f t="shared" si="25"/>
        <v>TinDongguan CiEXPO Environmental Engineering Co., Ltd.</v>
      </c>
    </row>
    <row r="184" spans="1:28" s="227" customFormat="1" ht="20.25">
      <c r="A184" s="181" t="s">
        <v>15633</v>
      </c>
      <c r="B184" s="182" t="s">
        <v>1099</v>
      </c>
      <c r="C184" s="186" t="s">
        <v>15632</v>
      </c>
      <c r="D184" s="230" t="s">
        <v>15632</v>
      </c>
      <c r="E184" s="182" t="s">
        <v>1069</v>
      </c>
      <c r="F184" s="182" t="s">
        <v>15633</v>
      </c>
      <c r="G184" s="182" t="s">
        <v>13177</v>
      </c>
      <c r="H184" s="183"/>
      <c r="I184" s="184" t="s">
        <v>15644</v>
      </c>
      <c r="J184" s="184" t="s">
        <v>13529</v>
      </c>
      <c r="K184" s="224"/>
      <c r="L184" s="224"/>
      <c r="M184" s="224"/>
      <c r="N184" s="224"/>
      <c r="O184" s="224" t="s">
        <v>16288</v>
      </c>
      <c r="P184" s="185"/>
      <c r="Q184" s="225"/>
      <c r="R184" s="182" t="str">
        <f ca="1">IF(ISERROR($V184),"",OFFSET('Smelter Look-up'!$C$4,$V184-4,0)&amp;"")</f>
        <v>Ma'anshan Weitai Tin Co., Ltd.</v>
      </c>
      <c r="S184" s="181" t="str">
        <f t="shared" ca="1" si="23"/>
        <v>CN</v>
      </c>
      <c r="T184" s="181" t="str">
        <f ca="1">IF(B184="","",IF(ISERROR(MATCH($J184,SorP!$B$1:$B$6226,0)),"",INDIRECT("'SorP'!$A$"&amp;MATCH($S184&amp;$J184,SorP!C:C,0))))</f>
        <v>CN-AH</v>
      </c>
      <c r="U184" s="201"/>
      <c r="V184" s="226">
        <f>IF(C184="",NA(),IF(OR(C184="Smelter not listed",C184="Smelter not yet identified"),MATCH($B184&amp;$D184,'Smelter Look-up'!$J:$J,0),MATCH($B184&amp;$C184,'Smelter Look-up'!$J:$J,0)))</f>
        <v>466</v>
      </c>
      <c r="X184" s="227">
        <f t="shared" si="24"/>
        <v>0</v>
      </c>
      <c r="AB184" s="228" t="str">
        <f t="shared" si="25"/>
        <v>TinMa'anshan Weitai Tin Co., Ltd.</v>
      </c>
    </row>
    <row r="185" spans="1:28" s="227" customFormat="1" ht="20.25">
      <c r="A185" s="181" t="s">
        <v>16289</v>
      </c>
      <c r="B185" s="182" t="s">
        <v>1101</v>
      </c>
      <c r="C185" s="186" t="s">
        <v>16290</v>
      </c>
      <c r="D185" s="230" t="s">
        <v>16290</v>
      </c>
      <c r="E185" s="182" t="s">
        <v>1069</v>
      </c>
      <c r="F185" s="182" t="s">
        <v>16289</v>
      </c>
      <c r="G185" s="182" t="s">
        <v>13177</v>
      </c>
      <c r="H185" s="183"/>
      <c r="I185" s="184" t="s">
        <v>13743</v>
      </c>
      <c r="J185" s="184" t="s">
        <v>13530</v>
      </c>
      <c r="K185" s="224"/>
      <c r="L185" s="224"/>
      <c r="M185" s="224"/>
      <c r="N185" s="224"/>
      <c r="O185" s="224"/>
      <c r="P185" s="185"/>
      <c r="Q185" s="225"/>
      <c r="R185" s="182" t="str">
        <f ca="1">IF(ISERROR($V185),"",OFFSET('Smelter Look-up'!$C$4,$V185-4,0)&amp;"")</f>
        <v/>
      </c>
      <c r="S185" s="181" t="str">
        <f t="shared" ca="1" si="23"/>
        <v>CN</v>
      </c>
      <c r="T185" s="181" t="str">
        <f ca="1">IF(B185="","",IF(ISERROR(MATCH($J185,SorP!$B$1:$B$6226,0)),"",INDIRECT("'SorP'!$A$"&amp;MATCH($S185&amp;$J185,SorP!C:C,0))))</f>
        <v>CN-FJ</v>
      </c>
      <c r="U185" s="201"/>
      <c r="V185" s="226" t="e">
        <f>IF(C185="",NA(),IF(OR(C185="Smelter not listed",C185="Smelter not yet identified"),MATCH($B185&amp;$D185,'Smelter Look-up'!$J:$J,0),MATCH($B185&amp;$C185,'Smelter Look-up'!$J:$J,0)))</f>
        <v>#N/A</v>
      </c>
      <c r="X185" s="227">
        <f t="shared" si="24"/>
        <v>0</v>
      </c>
      <c r="AB185" s="228" t="str">
        <f t="shared" si="25"/>
        <v>TungstenFujian Ganmin RareMetal Co., Ltd.</v>
      </c>
    </row>
    <row r="186" spans="1:28" s="227" customFormat="1" ht="25.5">
      <c r="A186" s="181" t="s">
        <v>13712</v>
      </c>
      <c r="B186" s="182" t="s">
        <v>1099</v>
      </c>
      <c r="C186" s="186" t="s">
        <v>13759</v>
      </c>
      <c r="D186" s="230" t="s">
        <v>13759</v>
      </c>
      <c r="E186" s="182" t="s">
        <v>1069</v>
      </c>
      <c r="F186" s="182" t="s">
        <v>13712</v>
      </c>
      <c r="G186" s="182" t="s">
        <v>13177</v>
      </c>
      <c r="H186" s="183"/>
      <c r="I186" s="184" t="s">
        <v>2398</v>
      </c>
      <c r="J186" s="184" t="s">
        <v>13540</v>
      </c>
      <c r="K186" s="224"/>
      <c r="L186" s="224"/>
      <c r="M186" s="224"/>
      <c r="N186" s="224"/>
      <c r="O186" s="224" t="s">
        <v>15948</v>
      </c>
      <c r="P186" s="185"/>
      <c r="Q186" s="225"/>
      <c r="R186" s="182" t="str">
        <f ca="1">IF(ISERROR($V186),"",OFFSET('Smelter Look-up'!$C$4,$V186-4,0)&amp;"")</f>
        <v>Gejiu City Fuxiang Industry and Trade Co., Ltd.</v>
      </c>
      <c r="S186" s="181" t="str">
        <f t="shared" ca="1" si="23"/>
        <v>CN</v>
      </c>
      <c r="T186" s="181" t="str">
        <f ca="1">IF(B186="","",IF(ISERROR(MATCH($J186,SorP!$B$1:$B$6226,0)),"",INDIRECT("'SorP'!$A$"&amp;MATCH($S186&amp;$J186,SorP!C:C,0))))</f>
        <v>CN-YN</v>
      </c>
      <c r="U186" s="201"/>
      <c r="V186" s="226">
        <f>IF(C186="",NA(),IF(OR(C186="Smelter not listed",C186="Smelter not yet identified"),MATCH($B186&amp;$D186,'Smelter Look-up'!$J:$J,0),MATCH($B186&amp;$C186,'Smelter Look-up'!$J:$J,0)))</f>
        <v>440</v>
      </c>
      <c r="X186" s="227">
        <f t="shared" si="24"/>
        <v>0</v>
      </c>
      <c r="AB186" s="228" t="str">
        <f t="shared" si="25"/>
        <v>TinGejiu City Fuxiang Industry and Trade Co., Ltd.</v>
      </c>
    </row>
    <row r="187" spans="1:28" s="227" customFormat="1" ht="25.5">
      <c r="A187" s="181" t="s">
        <v>15320</v>
      </c>
      <c r="B187" s="182" t="s">
        <v>1101</v>
      </c>
      <c r="C187" s="186" t="s">
        <v>15319</v>
      </c>
      <c r="D187" s="230" t="s">
        <v>15319</v>
      </c>
      <c r="E187" s="182" t="s">
        <v>1069</v>
      </c>
      <c r="F187" s="182" t="s">
        <v>15320</v>
      </c>
      <c r="G187" s="182" t="s">
        <v>13177</v>
      </c>
      <c r="H187" s="183"/>
      <c r="I187" s="184" t="s">
        <v>15321</v>
      </c>
      <c r="J187" s="184" t="s">
        <v>13531</v>
      </c>
      <c r="K187" s="224"/>
      <c r="L187" s="224"/>
      <c r="M187" s="224"/>
      <c r="N187" s="224"/>
      <c r="O187" s="224"/>
      <c r="P187" s="185"/>
      <c r="Q187" s="225"/>
      <c r="R187" s="182" t="str">
        <f ca="1">IF(ISERROR($V187),"",OFFSET('Smelter Look-up'!$C$4,$V187-4,0)&amp;"")</f>
        <v>YUDU ANSHENG TUNGSTEN CO., LTD.</v>
      </c>
      <c r="S187" s="181" t="str">
        <f t="shared" ca="1" si="23"/>
        <v>CN</v>
      </c>
      <c r="T187" s="181" t="str">
        <f ca="1">IF(B187="","",IF(ISERROR(MATCH($J187,SorP!$B$1:$B$6226,0)),"",INDIRECT("'SorP'!$A$"&amp;MATCH($S187&amp;$J187,SorP!C:C,0))))</f>
        <v>CN-JX</v>
      </c>
      <c r="U187" s="201"/>
      <c r="V187" s="226">
        <f>IF(C187="",NA(),IF(OR(C187="Smelter not listed",C187="Smelter not yet identified"),MATCH($B187&amp;$D187,'Smelter Look-up'!$J:$J,0),MATCH($B187&amp;$C187,'Smelter Look-up'!$J:$J,0)))</f>
        <v>637</v>
      </c>
      <c r="X187" s="227">
        <f t="shared" si="24"/>
        <v>0</v>
      </c>
      <c r="AB187" s="228" t="str">
        <f t="shared" si="25"/>
        <v>TungstenYUDU ANSHENG TUNGSTEN CO., LTD.</v>
      </c>
    </row>
    <row r="188" spans="1:28" s="227" customFormat="1" ht="20.25">
      <c r="A188" s="181" t="s">
        <v>15282</v>
      </c>
      <c r="B188" s="182" t="s">
        <v>1098</v>
      </c>
      <c r="C188" s="186" t="s">
        <v>15281</v>
      </c>
      <c r="D188" s="230" t="s">
        <v>15281</v>
      </c>
      <c r="E188" s="182" t="s">
        <v>1069</v>
      </c>
      <c r="F188" s="182" t="s">
        <v>15282</v>
      </c>
      <c r="G188" s="182" t="s">
        <v>13177</v>
      </c>
      <c r="H188" s="183"/>
      <c r="I188" s="184" t="s">
        <v>15283</v>
      </c>
      <c r="J188" s="184" t="s">
        <v>13544</v>
      </c>
      <c r="K188" s="224"/>
      <c r="L188" s="224"/>
      <c r="M188" s="224"/>
      <c r="N188" s="224"/>
      <c r="O188" s="224"/>
      <c r="P188" s="185"/>
      <c r="Q188" s="225"/>
      <c r="R188" s="182" t="str">
        <f ca="1">IF(ISERROR($V188),"",OFFSET('Smelter Look-up'!$C$4,$V188-4,0)&amp;"")</f>
        <v>Dongwu Gold Group</v>
      </c>
      <c r="S188" s="181" t="str">
        <f t="shared" ca="1" si="23"/>
        <v>CN</v>
      </c>
      <c r="T188" s="181" t="str">
        <f ca="1">IF(B188="","",IF(ISERROR(MATCH($J188,SorP!$B$1:$B$6226,0)),"",INDIRECT("'SorP'!$A$"&amp;MATCH($S188&amp;$J188,SorP!C:C,0))))</f>
        <v>CN-JS</v>
      </c>
      <c r="U188" s="201"/>
      <c r="V188" s="226">
        <f>IF(C188="",NA(),IF(OR(C188="Smelter not listed",C188="Smelter not yet identified"),MATCH($B188&amp;$D188,'Smelter Look-up'!$J:$J,0),MATCH($B188&amp;$C188,'Smelter Look-up'!$J:$J,0)))</f>
        <v>66</v>
      </c>
      <c r="X188" s="227">
        <f t="shared" si="24"/>
        <v>0</v>
      </c>
      <c r="AB188" s="228" t="str">
        <f t="shared" si="25"/>
        <v>GoldDongwu Gold Group</v>
      </c>
    </row>
    <row r="189" spans="1:28" s="227" customFormat="1" ht="25.5">
      <c r="A189" s="181" t="s">
        <v>16291</v>
      </c>
      <c r="B189" s="182" t="s">
        <v>1100</v>
      </c>
      <c r="C189" s="186" t="s">
        <v>16292</v>
      </c>
      <c r="D189" s="230" t="s">
        <v>16292</v>
      </c>
      <c r="E189" s="182" t="s">
        <v>1069</v>
      </c>
      <c r="F189" s="182" t="s">
        <v>16291</v>
      </c>
      <c r="G189" s="182" t="s">
        <v>13177</v>
      </c>
      <c r="H189" s="183" t="s">
        <v>15840</v>
      </c>
      <c r="I189" s="184" t="s">
        <v>15840</v>
      </c>
      <c r="J189" s="184" t="s">
        <v>15840</v>
      </c>
      <c r="K189" s="224"/>
      <c r="L189" s="224"/>
      <c r="M189" s="224"/>
      <c r="N189" s="224"/>
      <c r="O189" s="224"/>
      <c r="P189" s="185"/>
      <c r="Q189" s="225"/>
      <c r="R189" s="182" t="str">
        <f ca="1">IF(ISERROR($V189),"",OFFSET('Smelter Look-up'!$C$4,$V189-4,0)&amp;"")</f>
        <v/>
      </c>
      <c r="S189" s="181" t="str">
        <f t="shared" ca="1" si="23"/>
        <v>CN</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si="24"/>
        <v>0</v>
      </c>
      <c r="AB189" s="228" t="str">
        <f t="shared" si="25"/>
        <v>TantalumCMT Rare Metal Advanced Materials (Hunan) Co., Ltd.</v>
      </c>
    </row>
    <row r="190" spans="1:28" s="227" customFormat="1" ht="38.25">
      <c r="A190" s="181" t="s">
        <v>15615</v>
      </c>
      <c r="B190" s="182" t="s">
        <v>1098</v>
      </c>
      <c r="C190" s="186" t="s">
        <v>15614</v>
      </c>
      <c r="D190" s="230" t="s">
        <v>15614</v>
      </c>
      <c r="E190" s="182" t="s">
        <v>1069</v>
      </c>
      <c r="F190" s="182" t="s">
        <v>15615</v>
      </c>
      <c r="G190" s="182" t="s">
        <v>13177</v>
      </c>
      <c r="H190" s="183"/>
      <c r="I190" s="184" t="s">
        <v>14983</v>
      </c>
      <c r="J190" s="184" t="s">
        <v>13536</v>
      </c>
      <c r="K190" s="224"/>
      <c r="L190" s="224"/>
      <c r="M190" s="224"/>
      <c r="N190" s="224"/>
      <c r="O190" s="224"/>
      <c r="P190" s="185"/>
      <c r="Q190" s="225"/>
      <c r="R190" s="182" t="str">
        <f ca="1">IF(ISERROR($V190),"",OFFSET('Smelter Look-up'!$C$4,$V190-4,0)&amp;"")</f>
        <v>SHENZHEN JINJUNWEI RESOURCE COMPREHENSIVE DEVELOPMENT CO., LTD.</v>
      </c>
      <c r="S190" s="181" t="str">
        <f t="shared" ca="1" si="23"/>
        <v>CN</v>
      </c>
      <c r="T190" s="181" t="str">
        <f ca="1">IF(B190="","",IF(ISERROR(MATCH($J190,SorP!$B$1:$B$6226,0)),"",INDIRECT("'SorP'!$A$"&amp;MATCH($S190&amp;$J190,SorP!C:C,0))))</f>
        <v>CN-GD</v>
      </c>
      <c r="U190" s="201"/>
      <c r="V190" s="226">
        <f>IF(C190="",NA(),IF(OR(C190="Smelter not listed",C190="Smelter not yet identified"),MATCH($B190&amp;$D190,'Smelter Look-up'!$J:$J,0),MATCH($B190&amp;$C190,'Smelter Look-up'!$J:$J,0)))</f>
        <v>257</v>
      </c>
      <c r="X190" s="227">
        <f t="shared" si="24"/>
        <v>0</v>
      </c>
      <c r="AB190" s="228" t="str">
        <f t="shared" si="25"/>
        <v>GoldSHENZHEN JINJUNWEI RESOURCE COMPREHENSIVE DEVELOPMENT CO., LTD.</v>
      </c>
    </row>
    <row r="191" spans="1:28" s="227" customFormat="1" ht="38.25">
      <c r="A191" s="181" t="s">
        <v>15631</v>
      </c>
      <c r="B191" s="182" t="s">
        <v>1099</v>
      </c>
      <c r="C191" s="186" t="s">
        <v>15630</v>
      </c>
      <c r="D191" s="230" t="s">
        <v>15630</v>
      </c>
      <c r="E191" s="182" t="s">
        <v>1069</v>
      </c>
      <c r="F191" s="182" t="s">
        <v>15631</v>
      </c>
      <c r="G191" s="182" t="s">
        <v>13177</v>
      </c>
      <c r="H191" s="183"/>
      <c r="I191" s="184" t="s">
        <v>15321</v>
      </c>
      <c r="J191" s="184" t="s">
        <v>13531</v>
      </c>
      <c r="K191" s="224"/>
      <c r="L191" s="224"/>
      <c r="M191" s="224"/>
      <c r="N191" s="224"/>
      <c r="O191" s="224"/>
      <c r="P191" s="185"/>
      <c r="Q191" s="225"/>
      <c r="R191" s="182" t="str">
        <f ca="1">IF(ISERROR($V191),"",OFFSET('Smelter Look-up'!$C$4,$V191-4,0)&amp;"")</f>
        <v>Longnan Chuangyue Environmental Protection Technology Development Co., Ltd</v>
      </c>
      <c r="S191" s="181" t="str">
        <f t="shared" ca="1" si="23"/>
        <v>CN</v>
      </c>
      <c r="T191" s="181" t="str">
        <f ca="1">IF(B191="","",IF(ISERROR(MATCH($J191,SorP!$B$1:$B$6226,0)),"",INDIRECT("'SorP'!$A$"&amp;MATCH($S191&amp;$J191,SorP!C:C,0))))</f>
        <v>CN-JX</v>
      </c>
      <c r="U191" s="201"/>
      <c r="V191" s="226">
        <f>IF(C191="",NA(),IF(OR(C191="Smelter not listed",C191="Smelter not yet identified"),MATCH($B191&amp;$D191,'Smelter Look-up'!$J:$J,0),MATCH($B191&amp;$C191,'Smelter Look-up'!$J:$J,0)))</f>
        <v>464</v>
      </c>
      <c r="X191" s="227">
        <f t="shared" si="24"/>
        <v>0</v>
      </c>
      <c r="AB191" s="228" t="str">
        <f t="shared" si="25"/>
        <v>TinLongnan Chuangyue Environmental Protection Technology Development Co., Ltd</v>
      </c>
    </row>
    <row r="192" spans="1:28" s="227" customFormat="1" ht="25.5">
      <c r="A192" s="181" t="s">
        <v>15685</v>
      </c>
      <c r="B192" s="182" t="s">
        <v>1100</v>
      </c>
      <c r="C192" s="186" t="s">
        <v>15712</v>
      </c>
      <c r="D192" s="230" t="s">
        <v>15712</v>
      </c>
      <c r="E192" s="182" t="s">
        <v>1069</v>
      </c>
      <c r="F192" s="182" t="s">
        <v>15685</v>
      </c>
      <c r="G192" s="182" t="s">
        <v>13177</v>
      </c>
      <c r="H192" s="183"/>
      <c r="I192" s="184" t="s">
        <v>15686</v>
      </c>
      <c r="J192" s="184" t="s">
        <v>13531</v>
      </c>
      <c r="K192" s="224"/>
      <c r="L192" s="224"/>
      <c r="M192" s="224"/>
      <c r="N192" s="224"/>
      <c r="O192" s="224"/>
      <c r="P192" s="185"/>
      <c r="Q192" s="225"/>
      <c r="R192" s="182" t="str">
        <f ca="1">IF(ISERROR($V192),"",OFFSET('Smelter Look-up'!$C$4,$V192-4,0)&amp;"")</f>
        <v>Jiangxi Suns Nonferrous Materials Co. Ltd.</v>
      </c>
      <c r="S192" s="181" t="str">
        <f t="shared" ca="1" si="23"/>
        <v>CN</v>
      </c>
      <c r="T192" s="181" t="str">
        <f ca="1">IF(B192="","",IF(ISERROR(MATCH($J192,SorP!$B$1:$B$6226,0)),"",INDIRECT("'SorP'!$A$"&amp;MATCH($S192&amp;$J192,SorP!C:C,0))))</f>
        <v>CN-JX</v>
      </c>
      <c r="U192" s="201"/>
      <c r="V192" s="226">
        <f>IF(C192="",NA(),IF(OR(C192="Smelter not listed",C192="Smelter not yet identified"),MATCH($B192&amp;$D192,'Smelter Look-up'!$J:$J,0),MATCH($B192&amp;$C192,'Smelter Look-up'!$J:$J,0)))</f>
        <v>351</v>
      </c>
      <c r="X192" s="227">
        <f t="shared" si="24"/>
        <v>0</v>
      </c>
      <c r="AB192" s="228" t="str">
        <f t="shared" si="25"/>
        <v>TantalumJiangxi Suns Nonferrous Materials Co. Ltd.</v>
      </c>
    </row>
    <row r="193" spans="1:28" s="227" customFormat="1" ht="25.5">
      <c r="A193" s="181" t="s">
        <v>15287</v>
      </c>
      <c r="B193" s="182" t="s">
        <v>1098</v>
      </c>
      <c r="C193" s="186" t="s">
        <v>15286</v>
      </c>
      <c r="D193" s="230" t="s">
        <v>15286</v>
      </c>
      <c r="E193" s="182" t="s">
        <v>12931</v>
      </c>
      <c r="F193" s="182" t="s">
        <v>15287</v>
      </c>
      <c r="G193" s="182" t="s">
        <v>13177</v>
      </c>
      <c r="H193" s="183" t="s">
        <v>16293</v>
      </c>
      <c r="I193" s="184" t="s">
        <v>15288</v>
      </c>
      <c r="J193" s="184" t="s">
        <v>3908</v>
      </c>
      <c r="K193" s="224" t="s">
        <v>16294</v>
      </c>
      <c r="L193" s="224" t="s">
        <v>16295</v>
      </c>
      <c r="M193" s="224" t="s">
        <v>15875</v>
      </c>
      <c r="N193" s="224" t="s">
        <v>15827</v>
      </c>
      <c r="O193" s="224" t="s">
        <v>12931</v>
      </c>
      <c r="P193" s="185" t="s">
        <v>12407</v>
      </c>
      <c r="Q193" s="225" t="s">
        <v>15829</v>
      </c>
      <c r="R193" s="182" t="str">
        <f ca="1">IF(ISERROR($V193),"",OFFSET('Smelter Look-up'!$C$4,$V193-4,0)&amp;"")</f>
        <v>Gold by Gold Colombia</v>
      </c>
      <c r="S193" s="181" t="str">
        <f t="shared" ca="1" si="23"/>
        <v>CO</v>
      </c>
      <c r="T193" s="181" t="str">
        <f ca="1">IF(B193="","",IF(ISERROR(MATCH($J193,SorP!$B$1:$B$6226,0)),"",INDIRECT("'SorP'!$A$"&amp;MATCH($S193&amp;$J193,SorP!C:C,0))))</f>
        <v>CO-ANT</v>
      </c>
      <c r="U193" s="201"/>
      <c r="V193" s="226">
        <f>IF(C193="",NA(),IF(OR(C193="Smelter not listed",C193="Smelter not yet identified"),MATCH($B193&amp;$D193,'Smelter Look-up'!$J:$J,0),MATCH($B193&amp;$C193,'Smelter Look-up'!$J:$J,0)))</f>
        <v>92</v>
      </c>
      <c r="X193" s="227">
        <f t="shared" si="24"/>
        <v>0</v>
      </c>
      <c r="AB193" s="228" t="str">
        <f t="shared" si="25"/>
        <v>GoldGold by Gold Colombia</v>
      </c>
    </row>
    <row r="194" spans="1:28" s="227" customFormat="1" ht="25.5">
      <c r="A194" s="181" t="s">
        <v>16296</v>
      </c>
      <c r="B194" s="182" t="s">
        <v>1098</v>
      </c>
      <c r="C194" s="186" t="s">
        <v>16297</v>
      </c>
      <c r="D194" s="230" t="s">
        <v>16297</v>
      </c>
      <c r="E194" s="182" t="s">
        <v>12931</v>
      </c>
      <c r="F194" s="182" t="s">
        <v>16296</v>
      </c>
      <c r="G194" s="182" t="s">
        <v>13177</v>
      </c>
      <c r="H194" s="183"/>
      <c r="I194" s="184" t="s">
        <v>16298</v>
      </c>
      <c r="J194" s="184" t="s">
        <v>3880</v>
      </c>
      <c r="K194" s="224"/>
      <c r="L194" s="224"/>
      <c r="M194" s="224"/>
      <c r="N194" s="224"/>
      <c r="O194" s="224" t="s">
        <v>16299</v>
      </c>
      <c r="P194" s="185"/>
      <c r="Q194" s="225"/>
      <c r="R194" s="182" t="str">
        <f ca="1">IF(ISERROR($V194),"",OFFSET('Smelter Look-up'!$C$4,$V194-4,0)&amp;"")</f>
        <v/>
      </c>
      <c r="S194" s="181" t="str">
        <f t="shared" ca="1" si="23"/>
        <v>CO</v>
      </c>
      <c r="T194" s="181" t="str">
        <f ca="1">IF(B194="","",IF(ISERROR(MATCH($J194,SorP!$B$1:$B$6226,0)),"",INDIRECT("'SorP'!$A$"&amp;MATCH($S194&amp;$J194,SorP!C:C,0))))</f>
        <v>CO-CUN</v>
      </c>
      <c r="U194" s="201"/>
      <c r="V194" s="226" t="e">
        <f>IF(C194="",NA(),IF(OR(C194="Smelter not listed",C194="Smelter not yet identified"),MATCH($B194&amp;$D194,'Smelter Look-up'!$J:$J,0),MATCH($B194&amp;$C194,'Smelter Look-up'!$J:$J,0)))</f>
        <v>#N/A</v>
      </c>
      <c r="X194" s="227">
        <f t="shared" si="24"/>
        <v>0</v>
      </c>
      <c r="AB194" s="228" t="str">
        <f t="shared" si="25"/>
        <v>GoldC.I Metales Procesados Industriales SAS</v>
      </c>
    </row>
    <row r="195" spans="1:28" s="227" customFormat="1" ht="20.25">
      <c r="A195" s="181" t="s">
        <v>16300</v>
      </c>
      <c r="B195" s="182" t="s">
        <v>1098</v>
      </c>
      <c r="C195" s="186" t="s">
        <v>16301</v>
      </c>
      <c r="D195" s="230" t="s">
        <v>16301</v>
      </c>
      <c r="E195" s="182" t="s">
        <v>12931</v>
      </c>
      <c r="F195" s="182" t="s">
        <v>16300</v>
      </c>
      <c r="G195" s="182" t="s">
        <v>13177</v>
      </c>
      <c r="H195" s="183"/>
      <c r="I195" s="184" t="s">
        <v>16302</v>
      </c>
      <c r="J195" s="184" t="s">
        <v>3910</v>
      </c>
      <c r="K195" s="224"/>
      <c r="L195" s="224"/>
      <c r="M195" s="224"/>
      <c r="N195" s="224"/>
      <c r="O195" s="224"/>
      <c r="P195" s="185"/>
      <c r="Q195" s="225"/>
      <c r="R195" s="182" t="str">
        <f ca="1">IF(ISERROR($V195),"",OFFSET('Smelter Look-up'!$C$4,$V195-4,0)&amp;"")</f>
        <v/>
      </c>
      <c r="S195" s="181" t="str">
        <f t="shared" ca="1" si="23"/>
        <v>CO</v>
      </c>
      <c r="T195" s="181" t="str">
        <f ca="1">IF(B195="","",IF(ISERROR(MATCH($J195,SorP!$B$1:$B$6226,0)),"",INDIRECT("'SorP'!$A$"&amp;MATCH($S195&amp;$J195,SorP!C:C,0))))</f>
        <v>CO-ATL</v>
      </c>
      <c r="U195" s="201"/>
      <c r="V195" s="226" t="e">
        <f>IF(C195="",NA(),IF(OR(C195="Smelter not listed",C195="Smelter not yet identified"),MATCH($B195&amp;$D195,'Smelter Look-up'!$J:$J,0),MATCH($B195&amp;$C195,'Smelter Look-up'!$J:$J,0)))</f>
        <v>#N/A</v>
      </c>
      <c r="X195" s="227">
        <f t="shared" si="24"/>
        <v>0</v>
      </c>
      <c r="AB195" s="228" t="str">
        <f t="shared" si="25"/>
        <v>GoldSancus ZFS (L’Orfebre, SA)</v>
      </c>
    </row>
    <row r="196" spans="1:28" s="227" customFormat="1" ht="51">
      <c r="A196" s="181" t="s">
        <v>15347</v>
      </c>
      <c r="B196" s="182" t="s">
        <v>1099</v>
      </c>
      <c r="C196" s="186" t="s">
        <v>15346</v>
      </c>
      <c r="D196" s="230" t="s">
        <v>15346</v>
      </c>
      <c r="E196" s="182" t="s">
        <v>12925</v>
      </c>
      <c r="F196" s="182" t="s">
        <v>15347</v>
      </c>
      <c r="G196" s="182" t="s">
        <v>13177</v>
      </c>
      <c r="H196" s="183" t="s">
        <v>16303</v>
      </c>
      <c r="I196" s="184" t="s">
        <v>15352</v>
      </c>
      <c r="J196" s="184" t="s">
        <v>12746</v>
      </c>
      <c r="K196" s="224" t="s">
        <v>16304</v>
      </c>
      <c r="L196" s="224" t="s">
        <v>16305</v>
      </c>
      <c r="M196" s="224" t="s">
        <v>15875</v>
      </c>
      <c r="N196" s="224" t="s">
        <v>15827</v>
      </c>
      <c r="O196" s="224" t="s">
        <v>12925</v>
      </c>
      <c r="P196" s="185" t="s">
        <v>12407</v>
      </c>
      <c r="Q196" s="225" t="s">
        <v>15829</v>
      </c>
      <c r="R196" s="182" t="str">
        <f ca="1">IF(ISERROR($V196),"",OFFSET('Smelter Look-up'!$C$4,$V196-4,0)&amp;"")</f>
        <v>Mining Minerals Resources SARL</v>
      </c>
      <c r="S196" s="181" t="str">
        <f t="shared" ca="1" si="23"/>
        <v>CD</v>
      </c>
      <c r="T196" s="181" t="str">
        <f ca="1">IF(B196="","",IF(ISERROR(MATCH($J196,SorP!$B$1:$B$6226,0)),"",INDIRECT("'SorP'!$A$"&amp;MATCH($S196&amp;$J196,SorP!C:C,0))))</f>
        <v>CD-HK</v>
      </c>
      <c r="U196" s="201"/>
      <c r="V196" s="226">
        <f>IF(C196="",NA(),IF(OR(C196="Smelter not listed",C196="Smelter not yet identified"),MATCH($B196&amp;$D196,'Smelter Look-up'!$J:$J,0),MATCH($B196&amp;$C196,'Smelter Look-up'!$J:$J,0)))</f>
        <v>480</v>
      </c>
      <c r="X196" s="227">
        <f t="shared" si="24"/>
        <v>0</v>
      </c>
      <c r="AB196" s="228" t="str">
        <f t="shared" si="25"/>
        <v>TinMining Minerals Resources SARL</v>
      </c>
    </row>
    <row r="197" spans="1:28" s="227" customFormat="1" ht="153">
      <c r="A197" s="181" t="s">
        <v>2270</v>
      </c>
      <c r="B197" s="182" t="s">
        <v>1098</v>
      </c>
      <c r="C197" s="186" t="s">
        <v>2269</v>
      </c>
      <c r="D197" s="230" t="s">
        <v>2269</v>
      </c>
      <c r="E197" s="182" t="s">
        <v>13409</v>
      </c>
      <c r="F197" s="182" t="s">
        <v>2270</v>
      </c>
      <c r="G197" s="182" t="s">
        <v>13177</v>
      </c>
      <c r="H197" s="183" t="s">
        <v>16306</v>
      </c>
      <c r="I197" s="184" t="s">
        <v>2271</v>
      </c>
      <c r="J197" s="184" t="s">
        <v>4102</v>
      </c>
      <c r="K197" s="224" t="s">
        <v>16307</v>
      </c>
      <c r="L197" s="224" t="s">
        <v>16308</v>
      </c>
      <c r="M197" s="224" t="s">
        <v>15875</v>
      </c>
      <c r="N197" s="224" t="s">
        <v>16309</v>
      </c>
      <c r="O197" s="224" t="s">
        <v>16310</v>
      </c>
      <c r="P197" s="185" t="s">
        <v>15949</v>
      </c>
      <c r="Q197" s="225" t="s">
        <v>15829</v>
      </c>
      <c r="R197" s="182" t="str">
        <f ca="1">IF(ISERROR($V197),"",OFFSET('Smelter Look-up'!$C$4,$V197-4,0)&amp;"")</f>
        <v>SAFINA A.S.</v>
      </c>
      <c r="S197" s="181" t="str">
        <f t="shared" ref="S197" ca="1" si="26">IF(B197="","",IF(ISERROR(MATCH($E197,CL,0)),"Unknown",INDIRECT("'C'!$A$"&amp;MATCH($E197,CL,0)+1)))</f>
        <v>CZ</v>
      </c>
      <c r="T197" s="181" t="str">
        <f ca="1">IF(B197="","",IF(ISERROR(MATCH($J197,SorP!$B$1:$B$6226,0)),"",INDIRECT("'SorP'!$A$"&amp;MATCH($S197&amp;$J197,SorP!C:C,0))))</f>
        <v>CZ-20A</v>
      </c>
      <c r="U197" s="201"/>
      <c r="V197" s="226">
        <f>IF(C197="",NA(),IF(OR(C197="Smelter not listed",C197="Smelter not yet identified"),MATCH($B197&amp;$D197,'Smelter Look-up'!$J:$J,0),MATCH($B197&amp;$C197,'Smelter Look-up'!$J:$J,0)))</f>
        <v>233</v>
      </c>
      <c r="X197" s="227">
        <f t="shared" ref="X197" si="27">IF(AND(C197="Smelter not listed",OR(LEN(D197)=0,LEN(E197)=0)),1,0)</f>
        <v>0</v>
      </c>
      <c r="AB197" s="228" t="str">
        <f t="shared" ref="AB197" si="28">B197&amp;C197</f>
        <v>GoldSAFINA A.S.</v>
      </c>
    </row>
    <row r="198" spans="1:28" s="227" customFormat="1" ht="140.25">
      <c r="A198" s="181" t="s">
        <v>737</v>
      </c>
      <c r="B198" s="182" t="s">
        <v>1100</v>
      </c>
      <c r="C198" s="186" t="s">
        <v>2478</v>
      </c>
      <c r="D198" s="230" t="s">
        <v>2478</v>
      </c>
      <c r="E198" s="182" t="s">
        <v>1072</v>
      </c>
      <c r="F198" s="182" t="s">
        <v>737</v>
      </c>
      <c r="G198" s="182" t="s">
        <v>13177</v>
      </c>
      <c r="H198" s="183" t="s">
        <v>16311</v>
      </c>
      <c r="I198" s="184" t="s">
        <v>1690</v>
      </c>
      <c r="J198" s="184" t="s">
        <v>1691</v>
      </c>
      <c r="K198" s="224" t="s">
        <v>16312</v>
      </c>
      <c r="L198" s="224" t="s">
        <v>16313</v>
      </c>
      <c r="M198" s="224" t="s">
        <v>15833</v>
      </c>
      <c r="N198" s="224" t="s">
        <v>15827</v>
      </c>
      <c r="O198" s="224" t="s">
        <v>16314</v>
      </c>
      <c r="P198" s="185" t="s">
        <v>15949</v>
      </c>
      <c r="Q198" s="225" t="s">
        <v>15829</v>
      </c>
      <c r="R198" s="182" t="str">
        <f ca="1">IF(ISERROR($V198),"",OFFSET('Smelter Look-up'!$C$4,$V198-4,0)&amp;"")</f>
        <v>NPM Silmet AS</v>
      </c>
      <c r="S198" s="181" t="str">
        <f t="shared" ref="S198:S229" ca="1" si="29">IF(B198="","",IF(ISERROR(MATCH($E198,CL,0)),"Unknown",INDIRECT("'C'!$A$"&amp;MATCH($E198,CL,0)+1)))</f>
        <v>EE</v>
      </c>
      <c r="T198" s="181" t="str">
        <f ca="1">IF(B198="","",IF(ISERROR(MATCH($J198,SorP!$B$1:$B$6226,0)),"",INDIRECT("'SorP'!$A$"&amp;MATCH($S198&amp;$J198,SorP!C:C,0))))</f>
        <v>EE-45</v>
      </c>
      <c r="U198" s="201"/>
      <c r="V198" s="226">
        <f>IF(C198="",NA(),IF(OR(C198="Smelter not listed",C198="Smelter not yet identified"),MATCH($B198&amp;$D198,'Smelter Look-up'!$J:$J,0),MATCH($B198&amp;$C198,'Smelter Look-up'!$J:$J,0)))</f>
        <v>371</v>
      </c>
      <c r="X198" s="227">
        <f t="shared" ref="X198:X229" si="30">IF(AND(C198="Smelter not listed",OR(LEN(D198)=0,LEN(E198)=0)),1,0)</f>
        <v>0</v>
      </c>
      <c r="AB198" s="228" t="str">
        <f t="shared" ref="AB198:AB229" si="31">B198&amp;C198</f>
        <v>TantalumNPM Silmet AS</v>
      </c>
    </row>
    <row r="199" spans="1:28" s="227" customFormat="1" ht="20.25">
      <c r="A199" s="181" t="s">
        <v>15298</v>
      </c>
      <c r="B199" s="182" t="s">
        <v>1100</v>
      </c>
      <c r="C199" s="186" t="s">
        <v>15297</v>
      </c>
      <c r="D199" s="230" t="s">
        <v>15297</v>
      </c>
      <c r="E199" s="182" t="s">
        <v>1072</v>
      </c>
      <c r="F199" s="182" t="s">
        <v>15298</v>
      </c>
      <c r="G199" s="182" t="s">
        <v>13177</v>
      </c>
      <c r="H199" s="183"/>
      <c r="I199" s="184" t="s">
        <v>15299</v>
      </c>
      <c r="J199" s="184" t="s">
        <v>15299</v>
      </c>
      <c r="K199" s="224"/>
      <c r="L199" s="224"/>
      <c r="M199" s="224"/>
      <c r="N199" s="224"/>
      <c r="O199" s="224"/>
      <c r="P199" s="185"/>
      <c r="Q199" s="225"/>
      <c r="R199" s="182" t="str">
        <f ca="1">IF(ISERROR($V199),"",OFFSET('Smelter Look-up'!$C$4,$V199-4,0)&amp;"")</f>
        <v>5D Production OU</v>
      </c>
      <c r="S199" s="181" t="str">
        <f t="shared" ca="1" si="29"/>
        <v>EE</v>
      </c>
      <c r="T199" s="181" t="str">
        <f ca="1">IF(B199="","",IF(ISERROR(MATCH($J199,SorP!$B$1:$B$6226,0)),"",INDIRECT("'SorP'!$A$"&amp;MATCH($S199&amp;$J199,SorP!C:C,0))))</f>
        <v>EE-784</v>
      </c>
      <c r="U199" s="201"/>
      <c r="V199" s="226">
        <f>IF(C199="",NA(),IF(OR(C199="Smelter not listed",C199="Smelter not yet identified"),MATCH($B199&amp;$D199,'Smelter Look-up'!$J:$J,0),MATCH($B199&amp;$C199,'Smelter Look-up'!$J:$J,0)))</f>
        <v>331</v>
      </c>
      <c r="X199" s="227">
        <f t="shared" si="30"/>
        <v>0</v>
      </c>
      <c r="AB199" s="228" t="str">
        <f t="shared" si="31"/>
        <v>Tantalum5D Production OU</v>
      </c>
    </row>
    <row r="200" spans="1:28" s="227" customFormat="1" ht="25.5">
      <c r="A200" s="181" t="s">
        <v>14944</v>
      </c>
      <c r="B200" s="182" t="s">
        <v>1098</v>
      </c>
      <c r="C200" s="186" t="s">
        <v>14943</v>
      </c>
      <c r="D200" s="230" t="s">
        <v>14943</v>
      </c>
      <c r="E200" s="182" t="s">
        <v>1073</v>
      </c>
      <c r="F200" s="182" t="s">
        <v>14944</v>
      </c>
      <c r="G200" s="182" t="s">
        <v>13177</v>
      </c>
      <c r="H200" s="183"/>
      <c r="I200" s="184" t="s">
        <v>15296</v>
      </c>
      <c r="J200" s="184" t="s">
        <v>12785</v>
      </c>
      <c r="K200" s="224" t="s">
        <v>16315</v>
      </c>
      <c r="L200" s="224" t="s">
        <v>16316</v>
      </c>
      <c r="M200" s="224" t="s">
        <v>15875</v>
      </c>
      <c r="N200" s="224" t="s">
        <v>15827</v>
      </c>
      <c r="O200" s="224" t="s">
        <v>1073</v>
      </c>
      <c r="P200" s="185" t="s">
        <v>12407</v>
      </c>
      <c r="Q200" s="225" t="s">
        <v>15829</v>
      </c>
      <c r="R200" s="182" t="str">
        <f ca="1">IF(ISERROR($V200),"",OFFSET('Smelter Look-up'!$C$4,$V200-4,0)&amp;"")</f>
        <v>WEEEREFINING</v>
      </c>
      <c r="S200" s="181" t="str">
        <f t="shared" ca="1" si="29"/>
        <v>FR</v>
      </c>
      <c r="T200" s="181" t="str">
        <f ca="1">IF(B200="","",IF(ISERROR(MATCH($J200,SorP!$B$1:$B$6226,0)),"",INDIRECT("'SorP'!$A$"&amp;MATCH($S200&amp;$J200,SorP!C:C,0))))</f>
        <v>FR-NOR</v>
      </c>
      <c r="U200" s="201"/>
      <c r="V200" s="226">
        <f>IF(C200="",NA(),IF(OR(C200="Smelter not listed",C200="Smelter not yet identified"),MATCH($B200&amp;$D200,'Smelter Look-up'!$J:$J,0),MATCH($B200&amp;$C200,'Smelter Look-up'!$J:$J,0)))</f>
        <v>305</v>
      </c>
      <c r="X200" s="227">
        <f t="shared" si="30"/>
        <v>0</v>
      </c>
      <c r="AB200" s="228" t="str">
        <f t="shared" si="31"/>
        <v>GoldWEEEREFINING</v>
      </c>
    </row>
    <row r="201" spans="1:28" s="227" customFormat="1" ht="51">
      <c r="A201" s="181" t="s">
        <v>2211</v>
      </c>
      <c r="B201" s="182" t="s">
        <v>1098</v>
      </c>
      <c r="C201" s="186" t="s">
        <v>2210</v>
      </c>
      <c r="D201" s="230" t="s">
        <v>2210</v>
      </c>
      <c r="E201" s="182" t="s">
        <v>1073</v>
      </c>
      <c r="F201" s="182" t="s">
        <v>2211</v>
      </c>
      <c r="G201" s="182" t="s">
        <v>13177</v>
      </c>
      <c r="H201" s="183"/>
      <c r="I201" s="184" t="s">
        <v>2212</v>
      </c>
      <c r="J201" s="184" t="s">
        <v>4834</v>
      </c>
      <c r="K201" s="224"/>
      <c r="L201" s="224"/>
      <c r="M201" s="224"/>
      <c r="N201" s="224"/>
      <c r="O201" s="224" t="s">
        <v>16317</v>
      </c>
      <c r="P201" s="185"/>
      <c r="Q201" s="225"/>
      <c r="R201" s="182" t="str">
        <f ca="1">IF(ISERROR($V201),"",OFFSET('Smelter Look-up'!$C$4,$V201-4,0)&amp;"")</f>
        <v>SAAMP</v>
      </c>
      <c r="S201" s="181" t="str">
        <f t="shared" ca="1" si="29"/>
        <v>FR</v>
      </c>
      <c r="T201" s="181" t="str">
        <f ca="1">IF(B201="","",IF(ISERROR(MATCH($J201,SorP!$B$1:$B$6226,0)),"",INDIRECT("'SorP'!$A$"&amp;MATCH($S201&amp;$J201,SorP!C:C,0))))</f>
        <v>FR-IDF</v>
      </c>
      <c r="U201" s="201"/>
      <c r="V201" s="226">
        <f>IF(C201="",NA(),IF(OR(C201="Smelter not listed",C201="Smelter not yet identified"),MATCH($B201&amp;$D201,'Smelter Look-up'!$J:$J,0),MATCH($B201&amp;$C201,'Smelter Look-up'!$J:$J,0)))</f>
        <v>230</v>
      </c>
      <c r="X201" s="227">
        <f t="shared" si="30"/>
        <v>0</v>
      </c>
      <c r="AB201" s="228" t="str">
        <f t="shared" si="31"/>
        <v>GoldSAAMP</v>
      </c>
    </row>
    <row r="202" spans="1:28" s="227" customFormat="1" ht="89.25">
      <c r="A202" s="181" t="s">
        <v>634</v>
      </c>
      <c r="B202" s="182" t="s">
        <v>1098</v>
      </c>
      <c r="C202" s="186" t="s">
        <v>49</v>
      </c>
      <c r="D202" s="230" t="s">
        <v>49</v>
      </c>
      <c r="E202" s="182" t="s">
        <v>1070</v>
      </c>
      <c r="F202" s="182" t="s">
        <v>634</v>
      </c>
      <c r="G202" s="182" t="s">
        <v>13177</v>
      </c>
      <c r="H202" s="183" t="s">
        <v>16318</v>
      </c>
      <c r="I202" s="184" t="s">
        <v>1510</v>
      </c>
      <c r="J202" s="184" t="s">
        <v>1511</v>
      </c>
      <c r="K202" s="224" t="s">
        <v>16319</v>
      </c>
      <c r="L202" s="224" t="s">
        <v>16320</v>
      </c>
      <c r="M202" s="224" t="s">
        <v>15826</v>
      </c>
      <c r="N202" s="224" t="s">
        <v>15827</v>
      </c>
      <c r="O202" s="224" t="s">
        <v>16321</v>
      </c>
      <c r="P202" s="185" t="s">
        <v>12407</v>
      </c>
      <c r="Q202" s="225" t="s">
        <v>15871</v>
      </c>
      <c r="R202" s="182" t="str">
        <f ca="1">IF(ISERROR($V202),"",OFFSET('Smelter Look-up'!$C$4,$V202-4,0)&amp;"")</f>
        <v>Agosi AG</v>
      </c>
      <c r="S202" s="181" t="str">
        <f t="shared" ca="1" si="29"/>
        <v>DE</v>
      </c>
      <c r="T202" s="181" t="str">
        <f ca="1">IF(B202="","",IF(ISERROR(MATCH($J202,SorP!$B$1:$B$6226,0)),"",INDIRECT("'SorP'!$A$"&amp;MATCH($S202&amp;$J202,SorP!C:C,0))))</f>
        <v>DE-BW</v>
      </c>
      <c r="U202" s="201"/>
      <c r="V202" s="226">
        <f>IF(C202="",NA(),IF(OR(C202="Smelter not listed",C202="Smelter not yet identified"),MATCH($B202&amp;$D202,'Smelter Look-up'!$J:$J,0),MATCH($B202&amp;$C202,'Smelter Look-up'!$J:$J,0)))</f>
        <v>19</v>
      </c>
      <c r="X202" s="227">
        <f t="shared" si="30"/>
        <v>0</v>
      </c>
      <c r="AB202" s="228" t="str">
        <f t="shared" si="31"/>
        <v>GoldAllgemeine Gold-und Silberscheideanstalt A.G.</v>
      </c>
    </row>
    <row r="203" spans="1:28" s="227" customFormat="1" ht="89.25">
      <c r="A203" s="181" t="s">
        <v>641</v>
      </c>
      <c r="B203" s="182" t="s">
        <v>1098</v>
      </c>
      <c r="C203" s="186" t="s">
        <v>1191</v>
      </c>
      <c r="D203" s="230" t="s">
        <v>1191</v>
      </c>
      <c r="E203" s="182" t="s">
        <v>1070</v>
      </c>
      <c r="F203" s="182" t="s">
        <v>641</v>
      </c>
      <c r="G203" s="182" t="s">
        <v>13177</v>
      </c>
      <c r="H203" s="183"/>
      <c r="I203" s="184" t="s">
        <v>1523</v>
      </c>
      <c r="J203" s="184" t="s">
        <v>1523</v>
      </c>
      <c r="K203" s="224" t="s">
        <v>16322</v>
      </c>
      <c r="L203" s="224" t="s">
        <v>16323</v>
      </c>
      <c r="M203" s="224" t="s">
        <v>15826</v>
      </c>
      <c r="N203" s="224" t="s">
        <v>15827</v>
      </c>
      <c r="O203" s="224" t="s">
        <v>16324</v>
      </c>
      <c r="P203" s="185" t="s">
        <v>12407</v>
      </c>
      <c r="Q203" s="225" t="s">
        <v>15871</v>
      </c>
      <c r="R203" s="182" t="str">
        <f ca="1">IF(ISERROR($V203),"",OFFSET('Smelter Look-up'!$C$4,$V203-4,0)&amp;"")</f>
        <v>Aurubis AG</v>
      </c>
      <c r="S203" s="181" t="str">
        <f t="shared" ca="1" si="29"/>
        <v>DE</v>
      </c>
      <c r="T203" s="181" t="str">
        <f ca="1">IF(B203="","",IF(ISERROR(MATCH($J203,SorP!$B$1:$B$6226,0)),"",INDIRECT("'SorP'!$A$"&amp;MATCH($S203&amp;$J203,SorP!C:C,0))))</f>
        <v>DE-HH</v>
      </c>
      <c r="U203" s="201"/>
      <c r="V203" s="226">
        <f>IF(C203="",NA(),IF(OR(C203="Smelter not listed",C203="Smelter not yet identified"),MATCH($B203&amp;$D203,'Smelter Look-up'!$J:$J,0),MATCH($B203&amp;$C203,'Smelter Look-up'!$J:$J,0)))</f>
        <v>39</v>
      </c>
      <c r="X203" s="227">
        <f t="shared" si="30"/>
        <v>0</v>
      </c>
      <c r="AB203" s="228" t="str">
        <f t="shared" si="31"/>
        <v>GoldAurubis AG</v>
      </c>
    </row>
    <row r="204" spans="1:28" s="227" customFormat="1" ht="76.5">
      <c r="A204" s="181" t="s">
        <v>645</v>
      </c>
      <c r="B204" s="182" t="s">
        <v>1098</v>
      </c>
      <c r="C204" s="186" t="s">
        <v>644</v>
      </c>
      <c r="D204" s="230" t="s">
        <v>644</v>
      </c>
      <c r="E204" s="182" t="s">
        <v>1070</v>
      </c>
      <c r="F204" s="182" t="s">
        <v>645</v>
      </c>
      <c r="G204" s="182" t="s">
        <v>13177</v>
      </c>
      <c r="H204" s="183" t="s">
        <v>16325</v>
      </c>
      <c r="I204" s="184" t="s">
        <v>1510</v>
      </c>
      <c r="J204" s="184" t="s">
        <v>1511</v>
      </c>
      <c r="K204" s="224" t="s">
        <v>16326</v>
      </c>
      <c r="L204" s="224" t="s">
        <v>16327</v>
      </c>
      <c r="M204" s="224" t="s">
        <v>15869</v>
      </c>
      <c r="N204" s="224"/>
      <c r="O204" s="224" t="s">
        <v>16328</v>
      </c>
      <c r="P204" s="185" t="s">
        <v>12407</v>
      </c>
      <c r="Q204" s="225" t="s">
        <v>15871</v>
      </c>
      <c r="R204" s="182" t="str">
        <f ca="1">IF(ISERROR($V204),"",OFFSET('Smelter Look-up'!$C$4,$V204-4,0)&amp;"")</f>
        <v>C. Hafner GmbH + Co. KG</v>
      </c>
      <c r="S204" s="181" t="str">
        <f t="shared" ca="1" si="29"/>
        <v>DE</v>
      </c>
      <c r="T204" s="181" t="str">
        <f ca="1">IF(B204="","",IF(ISERROR(MATCH($J204,SorP!$B$1:$B$6226,0)),"",INDIRECT("'SorP'!$A$"&amp;MATCH($S204&amp;$J204,SorP!C:C,0))))</f>
        <v>DE-BW</v>
      </c>
      <c r="U204" s="201"/>
      <c r="V204" s="226">
        <f>IF(C204="",NA(),IF(OR(C204="Smelter not listed",C204="Smelter not yet identified"),MATCH($B204&amp;$D204,'Smelter Look-up'!$J:$J,0),MATCH($B204&amp;$C204,'Smelter Look-up'!$J:$J,0)))</f>
        <v>45</v>
      </c>
      <c r="X204" s="227">
        <f t="shared" si="30"/>
        <v>0</v>
      </c>
      <c r="AB204" s="228" t="str">
        <f t="shared" si="31"/>
        <v>GoldC. Hafner GmbH + Co. KG</v>
      </c>
    </row>
    <row r="205" spans="1:28" s="227" customFormat="1" ht="89.25">
      <c r="A205" s="181" t="s">
        <v>659</v>
      </c>
      <c r="B205" s="182" t="s">
        <v>1098</v>
      </c>
      <c r="C205" s="186" t="s">
        <v>1008</v>
      </c>
      <c r="D205" s="230" t="s">
        <v>1008</v>
      </c>
      <c r="E205" s="182" t="s">
        <v>1070</v>
      </c>
      <c r="F205" s="182" t="s">
        <v>659</v>
      </c>
      <c r="G205" s="182" t="s">
        <v>13177</v>
      </c>
      <c r="H205" s="183" t="s">
        <v>16329</v>
      </c>
      <c r="I205" s="184" t="s">
        <v>1510</v>
      </c>
      <c r="J205" s="184" t="s">
        <v>1511</v>
      </c>
      <c r="K205" s="224" t="s">
        <v>16330</v>
      </c>
      <c r="L205" s="224" t="s">
        <v>16331</v>
      </c>
      <c r="M205" s="224" t="s">
        <v>15826</v>
      </c>
      <c r="N205" s="224" t="s">
        <v>15827</v>
      </c>
      <c r="O205" s="224" t="s">
        <v>16332</v>
      </c>
      <c r="P205" s="185" t="s">
        <v>12407</v>
      </c>
      <c r="Q205" s="225" t="s">
        <v>15829</v>
      </c>
      <c r="R205" s="182" t="str">
        <f ca="1">IF(ISERROR($V205),"",OFFSET('Smelter Look-up'!$C$4,$V205-4,0)&amp;"")</f>
        <v>Heimerle + Meule GmbH</v>
      </c>
      <c r="S205" s="181" t="str">
        <f t="shared" ca="1" si="29"/>
        <v>DE</v>
      </c>
      <c r="T205" s="181" t="str">
        <f ca="1">IF(B205="","",IF(ISERROR(MATCH($J205,SorP!$B$1:$B$6226,0)),"",INDIRECT("'SorP'!$A$"&amp;MATCH($S205&amp;$J205,SorP!C:C,0))))</f>
        <v>DE-BW</v>
      </c>
      <c r="U205" s="201"/>
      <c r="V205" s="226">
        <f>IF(C205="",NA(),IF(OR(C205="Smelter not listed",C205="Smelter not yet identified"),MATCH($B205&amp;$D205,'Smelter Look-up'!$J:$J,0),MATCH($B205&amp;$C205,'Smelter Look-up'!$J:$J,0)))</f>
        <v>104</v>
      </c>
      <c r="X205" s="227">
        <f t="shared" si="30"/>
        <v>0</v>
      </c>
      <c r="AB205" s="228" t="str">
        <f t="shared" si="31"/>
        <v>GoldHeimerle + Meule GmbH</v>
      </c>
    </row>
    <row r="206" spans="1:28" s="227" customFormat="1" ht="76.5">
      <c r="A206" s="181" t="s">
        <v>661</v>
      </c>
      <c r="B206" s="182" t="s">
        <v>1098</v>
      </c>
      <c r="C206" s="186" t="s">
        <v>14928</v>
      </c>
      <c r="D206" s="230" t="s">
        <v>14928</v>
      </c>
      <c r="E206" s="182" t="s">
        <v>1070</v>
      </c>
      <c r="F206" s="182" t="s">
        <v>661</v>
      </c>
      <c r="G206" s="182" t="s">
        <v>13177</v>
      </c>
      <c r="H206" s="183" t="s">
        <v>16333</v>
      </c>
      <c r="I206" s="184" t="s">
        <v>1556</v>
      </c>
      <c r="J206" s="184" t="s">
        <v>4195</v>
      </c>
      <c r="K206" s="224" t="s">
        <v>16334</v>
      </c>
      <c r="L206" s="224" t="s">
        <v>16335</v>
      </c>
      <c r="M206" s="224" t="s">
        <v>15875</v>
      </c>
      <c r="N206" s="224" t="s">
        <v>15827</v>
      </c>
      <c r="O206" s="224" t="s">
        <v>16336</v>
      </c>
      <c r="P206" s="185" t="s">
        <v>12407</v>
      </c>
      <c r="Q206" s="225" t="s">
        <v>15829</v>
      </c>
      <c r="R206" s="182" t="str">
        <f ca="1">IF(ISERROR($V206),"",OFFSET('Smelter Look-up'!$C$4,$V206-4,0)&amp;"")</f>
        <v>Heraeus Germany GmbH Co. KG</v>
      </c>
      <c r="S206" s="181" t="str">
        <f t="shared" ca="1" si="29"/>
        <v>DE</v>
      </c>
      <c r="T206" s="181" t="str">
        <f ca="1">IF(B206="","",IF(ISERROR(MATCH($J206,SorP!$B$1:$B$6226,0)),"",INDIRECT("'SorP'!$A$"&amp;MATCH($S206&amp;$J206,SorP!C:C,0))))</f>
        <v>DE-HE</v>
      </c>
      <c r="U206" s="201"/>
      <c r="V206" s="226">
        <f>IF(C206="",NA(),IF(OR(C206="Smelter not listed",C206="Smelter not yet identified"),MATCH($B206&amp;$D206,'Smelter Look-up'!$J:$J,0),MATCH($B206&amp;$C206,'Smelter Look-up'!$J:$J,0)))</f>
        <v>108</v>
      </c>
      <c r="X206" s="227">
        <f t="shared" si="30"/>
        <v>0</v>
      </c>
      <c r="AB206" s="228" t="str">
        <f t="shared" si="31"/>
        <v>GoldHeraeus Germany GmbH Co. KG</v>
      </c>
    </row>
    <row r="207" spans="1:28" s="227" customFormat="1" ht="76.5">
      <c r="A207" s="181" t="s">
        <v>1390</v>
      </c>
      <c r="B207" s="182" t="s">
        <v>1101</v>
      </c>
      <c r="C207" s="186" t="s">
        <v>2487</v>
      </c>
      <c r="D207" s="230" t="s">
        <v>2487</v>
      </c>
      <c r="E207" s="182" t="s">
        <v>1070</v>
      </c>
      <c r="F207" s="182" t="s">
        <v>1390</v>
      </c>
      <c r="G207" s="182" t="s">
        <v>13177</v>
      </c>
      <c r="H207" s="183" t="s">
        <v>16337</v>
      </c>
      <c r="I207" s="184" t="s">
        <v>1709</v>
      </c>
      <c r="J207" s="184" t="s">
        <v>4197</v>
      </c>
      <c r="K207" s="224" t="s">
        <v>16338</v>
      </c>
      <c r="L207" s="224" t="s">
        <v>16339</v>
      </c>
      <c r="M207" s="224" t="s">
        <v>15886</v>
      </c>
      <c r="N207" s="224" t="s">
        <v>15827</v>
      </c>
      <c r="O207" s="224" t="s">
        <v>16340</v>
      </c>
      <c r="P207" s="185" t="s">
        <v>476</v>
      </c>
      <c r="Q207" s="225" t="s">
        <v>15829</v>
      </c>
      <c r="R207" s="182" t="str">
        <f ca="1">IF(ISERROR($V207),"",OFFSET('Smelter Look-up'!$C$4,$V207-4,0)&amp;"")</f>
        <v>H.C. Starck Tungsten GmbH</v>
      </c>
      <c r="S207" s="181" t="str">
        <f t="shared" ca="1" si="29"/>
        <v>DE</v>
      </c>
      <c r="T207" s="181" t="str">
        <f ca="1">IF(B207="","",IF(ISERROR(MATCH($J207,SorP!$B$1:$B$6226,0)),"",INDIRECT("'SorP'!$A$"&amp;MATCH($S207&amp;$J207,SorP!C:C,0))))</f>
        <v>DE-NI</v>
      </c>
      <c r="U207" s="201"/>
      <c r="V207" s="226">
        <f>IF(C207="",NA(),IF(OR(C207="Smelter not listed",C207="Smelter not yet identified"),MATCH($B207&amp;$D207,'Smelter Look-up'!$J:$J,0),MATCH($B207&amp;$C207,'Smelter Look-up'!$J:$J,0)))</f>
        <v>582</v>
      </c>
      <c r="X207" s="227">
        <f t="shared" si="30"/>
        <v>0</v>
      </c>
      <c r="AB207" s="228" t="str">
        <f t="shared" si="31"/>
        <v>TungstenH.C. Starck Tungsten GmbH</v>
      </c>
    </row>
    <row r="208" spans="1:28" s="227" customFormat="1" ht="102">
      <c r="A208" s="181" t="s">
        <v>1391</v>
      </c>
      <c r="B208" s="182" t="s">
        <v>1101</v>
      </c>
      <c r="C208" s="186" t="s">
        <v>14948</v>
      </c>
      <c r="D208" s="230" t="s">
        <v>14948</v>
      </c>
      <c r="E208" s="182" t="s">
        <v>1070</v>
      </c>
      <c r="F208" s="182" t="s">
        <v>1391</v>
      </c>
      <c r="G208" s="182" t="s">
        <v>13177</v>
      </c>
      <c r="H208" s="183" t="s">
        <v>16341</v>
      </c>
      <c r="I208" s="184" t="s">
        <v>1710</v>
      </c>
      <c r="J208" s="184" t="s">
        <v>1511</v>
      </c>
      <c r="K208" s="224" t="s">
        <v>16342</v>
      </c>
      <c r="L208" s="224" t="s">
        <v>16343</v>
      </c>
      <c r="M208" s="224" t="s">
        <v>15826</v>
      </c>
      <c r="N208" s="224"/>
      <c r="O208" s="224" t="s">
        <v>16344</v>
      </c>
      <c r="P208" s="185" t="s">
        <v>12407</v>
      </c>
      <c r="Q208" s="225" t="s">
        <v>15829</v>
      </c>
      <c r="R208" s="182" t="str">
        <f ca="1">IF(ISERROR($V208),"",OFFSET('Smelter Look-up'!$C$4,$V208-4,0)&amp;"")</f>
        <v>TANIOBIS Smelting GmbH &amp; Co. KG</v>
      </c>
      <c r="S208" s="181" t="str">
        <f t="shared" ca="1" si="29"/>
        <v>DE</v>
      </c>
      <c r="T208" s="181" t="str">
        <f ca="1">IF(B208="","",IF(ISERROR(MATCH($J208,SorP!$B$1:$B$6226,0)),"",INDIRECT("'SorP'!$A$"&amp;MATCH($S208&amp;$J208,SorP!C:C,0))))</f>
        <v>DE-BW</v>
      </c>
      <c r="U208" s="201"/>
      <c r="V208" s="226">
        <f>IF(C208="",NA(),IF(OR(C208="Smelter not listed",C208="Smelter not yet identified"),MATCH($B208&amp;$D208,'Smelter Look-up'!$J:$J,0),MATCH($B208&amp;$C208,'Smelter Look-up'!$J:$J,0)))</f>
        <v>626</v>
      </c>
      <c r="X208" s="227">
        <f t="shared" si="30"/>
        <v>0</v>
      </c>
      <c r="AB208" s="228" t="str">
        <f t="shared" si="31"/>
        <v>TungstenTANIOBIS Smelting GmbH &amp; Co. KG</v>
      </c>
    </row>
    <row r="209" spans="1:28" s="227" customFormat="1" ht="89.25">
      <c r="A209" s="181" t="s">
        <v>1381</v>
      </c>
      <c r="B209" s="182" t="s">
        <v>1100</v>
      </c>
      <c r="C209" s="186" t="s">
        <v>14949</v>
      </c>
      <c r="D209" s="230" t="s">
        <v>14949</v>
      </c>
      <c r="E209" s="182" t="s">
        <v>1070</v>
      </c>
      <c r="F209" s="182" t="s">
        <v>1381</v>
      </c>
      <c r="G209" s="182" t="s">
        <v>13177</v>
      </c>
      <c r="H209" s="183" t="s">
        <v>16337</v>
      </c>
      <c r="I209" s="184" t="s">
        <v>1709</v>
      </c>
      <c r="J209" s="184" t="s">
        <v>4197</v>
      </c>
      <c r="K209" s="224" t="s">
        <v>16342</v>
      </c>
      <c r="L209" s="224" t="s">
        <v>16343</v>
      </c>
      <c r="M209" s="224" t="s">
        <v>15833</v>
      </c>
      <c r="N209" s="224" t="s">
        <v>15827</v>
      </c>
      <c r="O209" s="224" t="s">
        <v>16345</v>
      </c>
      <c r="P209" s="185" t="s">
        <v>476</v>
      </c>
      <c r="Q209" s="225" t="s">
        <v>15829</v>
      </c>
      <c r="R209" s="182" t="str">
        <f ca="1">IF(ISERROR($V209),"",OFFSET('Smelter Look-up'!$C$4,$V209-4,0)&amp;"")</f>
        <v>TANIOBIS GmbH</v>
      </c>
      <c r="S209" s="181" t="str">
        <f t="shared" ca="1" si="29"/>
        <v>DE</v>
      </c>
      <c r="T209" s="181" t="str">
        <f ca="1">IF(B209="","",IF(ISERROR(MATCH($J209,SorP!$B$1:$B$6226,0)),"",INDIRECT("'SorP'!$A$"&amp;MATCH($S209&amp;$J209,SorP!C:C,0))))</f>
        <v>DE-NI</v>
      </c>
      <c r="U209" s="201"/>
      <c r="V209" s="226">
        <f>IF(C209="",NA(),IF(OR(C209="Smelter not listed",C209="Smelter not yet identified"),MATCH($B209&amp;$D209,'Smelter Look-up'!$J:$J,0),MATCH($B209&amp;$C209,'Smelter Look-up'!$J:$J,0)))</f>
        <v>385</v>
      </c>
      <c r="X209" s="227">
        <f t="shared" si="30"/>
        <v>0</v>
      </c>
      <c r="AB209" s="228" t="str">
        <f t="shared" si="31"/>
        <v>TantalumTANIOBIS GmbH</v>
      </c>
    </row>
    <row r="210" spans="1:28" s="227" customFormat="1" ht="89.25">
      <c r="A210" s="181" t="s">
        <v>1386</v>
      </c>
      <c r="B210" s="182" t="s">
        <v>1100</v>
      </c>
      <c r="C210" s="186" t="s">
        <v>14948</v>
      </c>
      <c r="D210" s="230" t="s">
        <v>14948</v>
      </c>
      <c r="E210" s="182" t="s">
        <v>1070</v>
      </c>
      <c r="F210" s="182" t="s">
        <v>1386</v>
      </c>
      <c r="G210" s="182" t="s">
        <v>13177</v>
      </c>
      <c r="H210" s="183" t="s">
        <v>16341</v>
      </c>
      <c r="I210" s="184" t="s">
        <v>1710</v>
      </c>
      <c r="J210" s="184" t="s">
        <v>1511</v>
      </c>
      <c r="K210" s="224" t="s">
        <v>16342</v>
      </c>
      <c r="L210" s="224" t="s">
        <v>16343</v>
      </c>
      <c r="M210" s="224" t="s">
        <v>15833</v>
      </c>
      <c r="N210" s="224"/>
      <c r="O210" s="224" t="s">
        <v>16346</v>
      </c>
      <c r="P210" s="185" t="s">
        <v>476</v>
      </c>
      <c r="Q210" s="225" t="s">
        <v>15829</v>
      </c>
      <c r="R210" s="182" t="str">
        <f ca="1">IF(ISERROR($V210),"",OFFSET('Smelter Look-up'!$C$4,$V210-4,0)&amp;"")</f>
        <v>TANIOBIS Smelting GmbH &amp; Co. KG</v>
      </c>
      <c r="S210" s="181" t="str">
        <f t="shared" ca="1" si="29"/>
        <v>DE</v>
      </c>
      <c r="T210" s="181" t="str">
        <f ca="1">IF(B210="","",IF(ISERROR(MATCH($J210,SorP!$B$1:$B$6226,0)),"",INDIRECT("'SorP'!$A$"&amp;MATCH($S210&amp;$J210,SorP!C:C,0))))</f>
        <v>DE-BW</v>
      </c>
      <c r="U210" s="201"/>
      <c r="V210" s="226">
        <f>IF(C210="",NA(),IF(OR(C210="Smelter not listed",C210="Smelter not yet identified"),MATCH($B210&amp;$D210,'Smelter Look-up'!$J:$J,0),MATCH($B210&amp;$C210,'Smelter Look-up'!$J:$J,0)))</f>
        <v>387</v>
      </c>
      <c r="X210" s="227">
        <f t="shared" si="30"/>
        <v>0</v>
      </c>
      <c r="AB210" s="228" t="str">
        <f t="shared" si="31"/>
        <v>TantalumTANIOBIS Smelting GmbH &amp; Co. KG</v>
      </c>
    </row>
    <row r="211" spans="1:28" s="227" customFormat="1" ht="63.75">
      <c r="A211" s="181" t="s">
        <v>2157</v>
      </c>
      <c r="B211" s="182" t="s">
        <v>1098</v>
      </c>
      <c r="C211" s="186" t="s">
        <v>2155</v>
      </c>
      <c r="D211" s="230" t="s">
        <v>2155</v>
      </c>
      <c r="E211" s="182" t="s">
        <v>1070</v>
      </c>
      <c r="F211" s="182" t="s">
        <v>2157</v>
      </c>
      <c r="G211" s="182" t="s">
        <v>13177</v>
      </c>
      <c r="H211" s="183" t="s">
        <v>16347</v>
      </c>
      <c r="I211" s="184" t="s">
        <v>1510</v>
      </c>
      <c r="J211" s="184" t="s">
        <v>1511</v>
      </c>
      <c r="K211" s="224" t="s">
        <v>16348</v>
      </c>
      <c r="L211" s="224" t="s">
        <v>16349</v>
      </c>
      <c r="M211" s="224" t="s">
        <v>15826</v>
      </c>
      <c r="N211" s="224" t="s">
        <v>15917</v>
      </c>
      <c r="O211" s="224" t="s">
        <v>16350</v>
      </c>
      <c r="P211" s="185" t="s">
        <v>475</v>
      </c>
      <c r="Q211" s="225" t="s">
        <v>15829</v>
      </c>
      <c r="R211" s="182" t="str">
        <f ca="1">IF(ISERROR($V211),"",OFFSET('Smelter Look-up'!$C$4,$V211-4,0)&amp;"")</f>
        <v>WIELAND Edelmetalle GmbH</v>
      </c>
      <c r="S211" s="181" t="str">
        <f t="shared" ca="1" si="29"/>
        <v>DE</v>
      </c>
      <c r="T211" s="181" t="str">
        <f ca="1">IF(B211="","",IF(ISERROR(MATCH($J211,SorP!$B$1:$B$6226,0)),"",INDIRECT("'SorP'!$A$"&amp;MATCH($S211&amp;$J211,SorP!C:C,0))))</f>
        <v>DE-BW</v>
      </c>
      <c r="U211" s="201"/>
      <c r="V211" s="226">
        <f>IF(C211="",NA(),IF(OR(C211="Smelter not listed",C211="Smelter not yet identified"),MATCH($B211&amp;$D211,'Smelter Look-up'!$J:$J,0),MATCH($B211&amp;$C211,'Smelter Look-up'!$J:$J,0)))</f>
        <v>307</v>
      </c>
      <c r="X211" s="227">
        <f t="shared" si="30"/>
        <v>0</v>
      </c>
      <c r="AB211" s="228" t="str">
        <f t="shared" si="31"/>
        <v>GoldWIELAND Edelmetalle GmbH</v>
      </c>
    </row>
    <row r="212" spans="1:28" s="227" customFormat="1" ht="25.5">
      <c r="A212" s="181" t="s">
        <v>16351</v>
      </c>
      <c r="B212" s="182" t="s">
        <v>1098</v>
      </c>
      <c r="C212" s="186" t="s">
        <v>16352</v>
      </c>
      <c r="D212" s="230" t="s">
        <v>16352</v>
      </c>
      <c r="E212" s="182" t="s">
        <v>1070</v>
      </c>
      <c r="F212" s="182" t="s">
        <v>16351</v>
      </c>
      <c r="G212" s="182" t="s">
        <v>13177</v>
      </c>
      <c r="H212" s="183"/>
      <c r="I212" s="184" t="s">
        <v>1510</v>
      </c>
      <c r="J212" s="184" t="s">
        <v>1511</v>
      </c>
      <c r="K212" s="224"/>
      <c r="L212" s="224"/>
      <c r="M212" s="224"/>
      <c r="N212" s="224"/>
      <c r="O212" s="224"/>
      <c r="P212" s="185"/>
      <c r="Q212" s="225"/>
      <c r="R212" s="182" t="str">
        <f ca="1">IF(ISERROR($V212),"",OFFSET('Smelter Look-up'!$C$4,$V212-4,0)&amp;"")</f>
        <v/>
      </c>
      <c r="S212" s="181" t="str">
        <f t="shared" ca="1" si="29"/>
        <v>DE</v>
      </c>
      <c r="T212" s="181" t="str">
        <f ca="1">IF(B212="","",IF(ISERROR(MATCH($J212,SorP!$B$1:$B$6226,0)),"",INDIRECT("'SorP'!$A$"&amp;MATCH($S212&amp;$J212,SorP!C:C,0))))</f>
        <v>DE-BW</v>
      </c>
      <c r="U212" s="201"/>
      <c r="V212" s="226" t="e">
        <f>IF(C212="",NA(),IF(OR(C212="Smelter not listed",C212="Smelter not yet identified"),MATCH($B212&amp;$D212,'Smelter Look-up'!$J:$J,0),MATCH($B212&amp;$C212,'Smelter Look-up'!$J:$J,0)))</f>
        <v>#N/A</v>
      </c>
      <c r="X212" s="227">
        <f t="shared" si="30"/>
        <v>0</v>
      </c>
      <c r="AB212" s="228" t="str">
        <f t="shared" si="31"/>
        <v>GoldDODUCO Contacts and Refining GmbH</v>
      </c>
    </row>
    <row r="213" spans="1:28" s="227" customFormat="1" ht="20.25">
      <c r="A213" s="181" t="s">
        <v>16353</v>
      </c>
      <c r="B213" s="182" t="s">
        <v>1099</v>
      </c>
      <c r="C213" s="186" t="s">
        <v>16354</v>
      </c>
      <c r="D213" s="230" t="s">
        <v>16354</v>
      </c>
      <c r="E213" s="182" t="s">
        <v>1070</v>
      </c>
      <c r="F213" s="182" t="s">
        <v>16353</v>
      </c>
      <c r="G213" s="182" t="s">
        <v>13177</v>
      </c>
      <c r="H213" s="183"/>
      <c r="I213" s="184" t="s">
        <v>16355</v>
      </c>
      <c r="J213" s="184" t="s">
        <v>4184</v>
      </c>
      <c r="K213" s="224"/>
      <c r="L213" s="224"/>
      <c r="M213" s="224"/>
      <c r="N213" s="224"/>
      <c r="O213" s="224"/>
      <c r="P213" s="185"/>
      <c r="Q213" s="225"/>
      <c r="R213" s="182" t="str">
        <f ca="1">IF(ISERROR($V213),"",OFFSET('Smelter Look-up'!$C$4,$V213-4,0)&amp;"")</f>
        <v/>
      </c>
      <c r="S213" s="181" t="str">
        <f t="shared" ca="1" si="29"/>
        <v>DE</v>
      </c>
      <c r="T213" s="181" t="str">
        <f ca="1">IF(B213="","",IF(ISERROR(MATCH($J213,SorP!$B$1:$B$6226,0)),"",INDIRECT("'SorP'!$A$"&amp;MATCH($S213&amp;$J213,SorP!C:C,0))))</f>
        <v>DE-SN</v>
      </c>
      <c r="U213" s="201"/>
      <c r="V213" s="226" t="e">
        <f>IF(C213="",NA(),IF(OR(C213="Smelter not listed",C213="Smelter not yet identified"),MATCH($B213&amp;$D213,'Smelter Look-up'!$J:$J,0),MATCH($B213&amp;$C213,'Smelter Look-up'!$J:$J,0)))</f>
        <v>#N/A</v>
      </c>
      <c r="X213" s="227">
        <f t="shared" si="30"/>
        <v>0</v>
      </c>
      <c r="AB213" s="228" t="str">
        <f t="shared" si="31"/>
        <v>TinFeinhutte Halsbrucke GmbH</v>
      </c>
    </row>
    <row r="214" spans="1:28" s="227" customFormat="1" ht="229.5">
      <c r="A214" s="181" t="s">
        <v>16356</v>
      </c>
      <c r="B214" s="182" t="s">
        <v>1100</v>
      </c>
      <c r="C214" s="186" t="s">
        <v>16357</v>
      </c>
      <c r="D214" s="230" t="s">
        <v>16357</v>
      </c>
      <c r="E214" s="182" t="s">
        <v>1070</v>
      </c>
      <c r="F214" s="182" t="s">
        <v>16356</v>
      </c>
      <c r="G214" s="182" t="s">
        <v>13177</v>
      </c>
      <c r="H214" s="183" t="s">
        <v>15840</v>
      </c>
      <c r="I214" s="184" t="s">
        <v>16358</v>
      </c>
      <c r="J214" s="184" t="s">
        <v>4175</v>
      </c>
      <c r="K214" s="224"/>
      <c r="L214" s="224"/>
      <c r="M214" s="224"/>
      <c r="N214" s="224"/>
      <c r="O214" s="224" t="s">
        <v>16359</v>
      </c>
      <c r="P214" s="185"/>
      <c r="Q214" s="225"/>
      <c r="R214" s="182" t="str">
        <f ca="1">IF(ISERROR($V214),"",OFFSET('Smelter Look-up'!$C$4,$V214-4,0)&amp;"")</f>
        <v/>
      </c>
      <c r="S214" s="181" t="str">
        <f t="shared" ca="1" si="29"/>
        <v>DE</v>
      </c>
      <c r="T214" s="181" t="str">
        <f ca="1">IF(B214="","",IF(ISERROR(MATCH($J214,SorP!$B$1:$B$6226,0)),"",INDIRECT("'SorP'!$A$"&amp;MATCH($S214&amp;$J214,SorP!C:C,0))))</f>
        <v>DE-TH</v>
      </c>
      <c r="U214" s="201"/>
      <c r="V214" s="226" t="e">
        <f>IF(C214="",NA(),IF(OR(C214="Smelter not listed",C214="Smelter not yet identified"),MATCH($B214&amp;$D214,'Smelter Look-up'!$J:$J,0),MATCH($B214&amp;$C214,'Smelter Look-up'!$J:$J,0)))</f>
        <v>#N/A</v>
      </c>
      <c r="X214" s="227">
        <f t="shared" si="30"/>
        <v>0</v>
      </c>
      <c r="AB214" s="228" t="str">
        <f t="shared" si="31"/>
        <v>TantalumH.C. Starck Hermsdorf GmbH</v>
      </c>
    </row>
    <row r="215" spans="1:28" s="227" customFormat="1" ht="20.25">
      <c r="A215" s="181" t="s">
        <v>16360</v>
      </c>
      <c r="B215" s="182" t="s">
        <v>1098</v>
      </c>
      <c r="C215" s="186" t="s">
        <v>16361</v>
      </c>
      <c r="D215" s="230" t="s">
        <v>16361</v>
      </c>
      <c r="E215" s="182" t="s">
        <v>1070</v>
      </c>
      <c r="F215" s="182" t="s">
        <v>16360</v>
      </c>
      <c r="G215" s="182" t="s">
        <v>13177</v>
      </c>
      <c r="H215" s="183"/>
      <c r="I215" s="184" t="s">
        <v>16362</v>
      </c>
      <c r="J215" s="184" t="s">
        <v>4184</v>
      </c>
      <c r="K215" s="224"/>
      <c r="L215" s="224"/>
      <c r="M215" s="224"/>
      <c r="N215" s="224"/>
      <c r="O215" s="224"/>
      <c r="P215" s="185"/>
      <c r="Q215" s="225"/>
      <c r="R215" s="182" t="str">
        <f ca="1">IF(ISERROR($V215),"",OFFSET('Smelter Look-up'!$C$4,$V215-4,0)&amp;"")</f>
        <v/>
      </c>
      <c r="S215" s="181" t="str">
        <f t="shared" ca="1" si="29"/>
        <v>DE</v>
      </c>
      <c r="T215" s="181" t="str">
        <f ca="1">IF(B215="","",IF(ISERROR(MATCH($J215,SorP!$B$1:$B$6226,0)),"",INDIRECT("'SorP'!$A$"&amp;MATCH($S215&amp;$J215,SorP!C:C,0))))</f>
        <v>DE-SN</v>
      </c>
      <c r="U215" s="201"/>
      <c r="V215" s="226" t="e">
        <f>IF(C215="",NA(),IF(OR(C215="Smelter not listed",C215="Smelter not yet identified"),MATCH($B215&amp;$D215,'Smelter Look-up'!$J:$J,0),MATCH($B215&amp;$C215,'Smelter Look-up'!$J:$J,0)))</f>
        <v>#N/A</v>
      </c>
      <c r="X215" s="227">
        <f t="shared" si="30"/>
        <v>0</v>
      </c>
      <c r="AB215" s="228" t="str">
        <f t="shared" si="31"/>
        <v>GoldSAXONIA Edelmetalle GmbH</v>
      </c>
    </row>
    <row r="216" spans="1:28" s="227" customFormat="1" ht="25.5">
      <c r="A216" s="181" t="s">
        <v>2389</v>
      </c>
      <c r="B216" s="182" t="s">
        <v>1098</v>
      </c>
      <c r="C216" s="186" t="s">
        <v>2388</v>
      </c>
      <c r="D216" s="230" t="s">
        <v>2388</v>
      </c>
      <c r="E216" s="182" t="s">
        <v>1070</v>
      </c>
      <c r="F216" s="182" t="s">
        <v>2389</v>
      </c>
      <c r="G216" s="182" t="s">
        <v>13177</v>
      </c>
      <c r="H216" s="183"/>
      <c r="I216" s="184" t="s">
        <v>1510</v>
      </c>
      <c r="J216" s="184" t="s">
        <v>1511</v>
      </c>
      <c r="K216" s="224"/>
      <c r="L216" s="224"/>
      <c r="M216" s="224"/>
      <c r="N216" s="224"/>
      <c r="O216" s="224" t="s">
        <v>16363</v>
      </c>
      <c r="P216" s="185"/>
      <c r="Q216" s="225"/>
      <c r="R216" s="182" t="str">
        <f ca="1">IF(ISERROR($V216),"",OFFSET('Smelter Look-up'!$C$4,$V216-4,0)&amp;"")</f>
        <v>Degussa Sonne / Mond Goldhandel GmbH</v>
      </c>
      <c r="S216" s="181" t="str">
        <f t="shared" ca="1" si="29"/>
        <v>DE</v>
      </c>
      <c r="T216" s="181" t="str">
        <f ca="1">IF(B216="","",IF(ISERROR(MATCH($J216,SorP!$B$1:$B$6226,0)),"",INDIRECT("'SorP'!$A$"&amp;MATCH($S216&amp;$J216,SorP!C:C,0))))</f>
        <v>DE-BW</v>
      </c>
      <c r="U216" s="201"/>
      <c r="V216" s="226">
        <f>IF(C216="",NA(),IF(OR(C216="Smelter not listed",C216="Smelter not yet identified"),MATCH($B216&amp;$D216,'Smelter Look-up'!$J:$J,0),MATCH($B216&amp;$C216,'Smelter Look-up'!$J:$J,0)))</f>
        <v>63</v>
      </c>
      <c r="X216" s="227">
        <f t="shared" si="30"/>
        <v>0</v>
      </c>
      <c r="AB216" s="228" t="str">
        <f t="shared" si="31"/>
        <v>GoldDegussa Sonne / Mond Goldhandel GmbH</v>
      </c>
    </row>
    <row r="217" spans="1:28" s="227" customFormat="1" ht="20.25">
      <c r="A217" s="181" t="s">
        <v>13770</v>
      </c>
      <c r="B217" s="182" t="s">
        <v>1098</v>
      </c>
      <c r="C217" s="186" t="s">
        <v>13751</v>
      </c>
      <c r="D217" s="230" t="s">
        <v>13751</v>
      </c>
      <c r="E217" s="182" t="s">
        <v>12958</v>
      </c>
      <c r="F217" s="182" t="s">
        <v>13770</v>
      </c>
      <c r="G217" s="182" t="s">
        <v>13177</v>
      </c>
      <c r="H217" s="183"/>
      <c r="I217" s="184" t="s">
        <v>13934</v>
      </c>
      <c r="J217" s="184" t="s">
        <v>5519</v>
      </c>
      <c r="K217" s="224"/>
      <c r="L217" s="224"/>
      <c r="M217" s="224"/>
      <c r="N217" s="224"/>
      <c r="O217" s="224" t="s">
        <v>16364</v>
      </c>
      <c r="P217" s="185"/>
      <c r="Q217" s="225"/>
      <c r="R217" s="182" t="str">
        <f ca="1">IF(ISERROR($V217),"",OFFSET('Smelter Look-up'!$C$4,$V217-4,0)&amp;"")</f>
        <v>Gold Coast Refinery</v>
      </c>
      <c r="S217" s="181" t="str">
        <f t="shared" ca="1" si="29"/>
        <v>GH</v>
      </c>
      <c r="T217" s="181" t="str">
        <f ca="1">IF(B217="","",IF(ISERROR(MATCH($J217,SorP!$B$1:$B$6226,0)),"",INDIRECT("'SorP'!$A$"&amp;MATCH($S217&amp;$J217,SorP!C:C,0))))</f>
        <v>GH-AA</v>
      </c>
      <c r="U217" s="201"/>
      <c r="V217" s="226">
        <f>IF(C217="",NA(),IF(OR(C217="Smelter not listed",C217="Smelter not yet identified"),MATCH($B217&amp;$D217,'Smelter Look-up'!$J:$J,0),MATCH($B217&amp;$C217,'Smelter Look-up'!$J:$J,0)))</f>
        <v>93</v>
      </c>
      <c r="X217" s="227">
        <f t="shared" si="30"/>
        <v>0</v>
      </c>
      <c r="AB217" s="228" t="str">
        <f t="shared" si="31"/>
        <v>GoldGold Coast Refinery</v>
      </c>
    </row>
    <row r="218" spans="1:28" s="227" customFormat="1" ht="63.75">
      <c r="A218" s="181" t="s">
        <v>2244</v>
      </c>
      <c r="B218" s="182" t="s">
        <v>1098</v>
      </c>
      <c r="C218" s="186" t="s">
        <v>2243</v>
      </c>
      <c r="D218" s="230" t="s">
        <v>2243</v>
      </c>
      <c r="E218" s="182" t="s">
        <v>1075</v>
      </c>
      <c r="F218" s="182" t="s">
        <v>2244</v>
      </c>
      <c r="G218" s="182" t="s">
        <v>13177</v>
      </c>
      <c r="H218" s="183" t="s">
        <v>15840</v>
      </c>
      <c r="I218" s="184" t="s">
        <v>2298</v>
      </c>
      <c r="J218" s="184" t="s">
        <v>15384</v>
      </c>
      <c r="K218" s="224" t="s">
        <v>15840</v>
      </c>
      <c r="L218" s="224" t="s">
        <v>15840</v>
      </c>
      <c r="M218" s="224"/>
      <c r="N218" s="224" t="s">
        <v>15840</v>
      </c>
      <c r="O218" s="224" t="s">
        <v>16365</v>
      </c>
      <c r="P218" s="185" t="s">
        <v>15840</v>
      </c>
      <c r="Q218" s="225" t="s">
        <v>15840</v>
      </c>
      <c r="R218" s="182" t="str">
        <f ca="1">IF(ISERROR($V218),"",OFFSET('Smelter Look-up'!$C$4,$V218-4,0)&amp;"")</f>
        <v>Bangalore Refinery</v>
      </c>
      <c r="S218" s="181" t="str">
        <f t="shared" ca="1" si="29"/>
        <v>IN</v>
      </c>
      <c r="T218" s="181" t="str">
        <f ca="1">IF(B218="","",IF(ISERROR(MATCH($J218,SorP!$B$1:$B$6226,0)),"",INDIRECT("'SorP'!$A$"&amp;MATCH($S218&amp;$J218,SorP!C:C,0))))</f>
        <v>IN-KA</v>
      </c>
      <c r="U218" s="201"/>
      <c r="V218" s="226">
        <f>IF(C218="",NA(),IF(OR(C218="Smelter not listed",C218="Smelter not yet identified"),MATCH($B218&amp;$D218,'Smelter Look-up'!$J:$J,0),MATCH($B218&amp;$C218,'Smelter Look-up'!$J:$J,0)))</f>
        <v>41</v>
      </c>
      <c r="X218" s="227">
        <f t="shared" si="30"/>
        <v>0</v>
      </c>
      <c r="AB218" s="228" t="str">
        <f t="shared" si="31"/>
        <v>GoldBangalore Refinery</v>
      </c>
    </row>
    <row r="219" spans="1:28" s="227" customFormat="1" ht="25.5">
      <c r="A219" s="181" t="s">
        <v>13718</v>
      </c>
      <c r="B219" s="182" t="s">
        <v>1099</v>
      </c>
      <c r="C219" s="186" t="s">
        <v>13717</v>
      </c>
      <c r="D219" s="230" t="s">
        <v>13717</v>
      </c>
      <c r="E219" s="182" t="s">
        <v>1075</v>
      </c>
      <c r="F219" s="182" t="s">
        <v>13718</v>
      </c>
      <c r="G219" s="182" t="s">
        <v>13177</v>
      </c>
      <c r="H219" s="183" t="s">
        <v>15840</v>
      </c>
      <c r="I219" s="184" t="s">
        <v>13737</v>
      </c>
      <c r="J219" s="184" t="s">
        <v>15379</v>
      </c>
      <c r="K219" s="224" t="s">
        <v>15840</v>
      </c>
      <c r="L219" s="224" t="s">
        <v>15840</v>
      </c>
      <c r="M219" s="224"/>
      <c r="N219" s="224" t="s">
        <v>15840</v>
      </c>
      <c r="O219" s="224" t="s">
        <v>16366</v>
      </c>
      <c r="P219" s="185" t="s">
        <v>15840</v>
      </c>
      <c r="Q219" s="225" t="s">
        <v>15840</v>
      </c>
      <c r="R219" s="182" t="str">
        <f ca="1">IF(ISERROR($V219),"",OFFSET('Smelter Look-up'!$C$4,$V219-4,0)&amp;"")</f>
        <v>Precious Minerals and Smelting Limited</v>
      </c>
      <c r="S219" s="181" t="str">
        <f t="shared" ca="1" si="29"/>
        <v>IN</v>
      </c>
      <c r="T219" s="181" t="str">
        <f ca="1">IF(B219="","",IF(ISERROR(MATCH($J219,SorP!$B$1:$B$6226,0)),"",INDIRECT("'SorP'!$A$"&amp;MATCH($S219&amp;$J219,SorP!C:C,0))))</f>
        <v>IN-CG</v>
      </c>
      <c r="U219" s="201"/>
      <c r="V219" s="226">
        <f>IF(C219="",NA(),IF(OR(C219="Smelter not listed",C219="Smelter not yet identified"),MATCH($B219&amp;$D219,'Smelter Look-up'!$J:$J,0),MATCH($B219&amp;$C219,'Smelter Look-up'!$J:$J,0)))</f>
        <v>497</v>
      </c>
      <c r="X219" s="227">
        <f t="shared" si="30"/>
        <v>0</v>
      </c>
      <c r="AB219" s="228" t="str">
        <f t="shared" si="31"/>
        <v>TinPrecious Minerals and Smelting Limited</v>
      </c>
    </row>
    <row r="220" spans="1:28" s="227" customFormat="1" ht="114.75">
      <c r="A220" s="181" t="s">
        <v>734</v>
      </c>
      <c r="B220" s="182" t="s">
        <v>1100</v>
      </c>
      <c r="C220" s="186" t="s">
        <v>2107</v>
      </c>
      <c r="D220" s="230" t="s">
        <v>2107</v>
      </c>
      <c r="E220" s="182" t="s">
        <v>1075</v>
      </c>
      <c r="F220" s="182" t="s">
        <v>734</v>
      </c>
      <c r="G220" s="182" t="s">
        <v>13177</v>
      </c>
      <c r="H220" s="183" t="s">
        <v>16367</v>
      </c>
      <c r="I220" s="184" t="s">
        <v>1684</v>
      </c>
      <c r="J220" s="184" t="s">
        <v>15280</v>
      </c>
      <c r="K220" s="224" t="s">
        <v>16368</v>
      </c>
      <c r="L220" s="224" t="s">
        <v>16369</v>
      </c>
      <c r="M220" s="224" t="s">
        <v>15886</v>
      </c>
      <c r="N220" s="224" t="s">
        <v>15827</v>
      </c>
      <c r="O220" s="224" t="s">
        <v>16370</v>
      </c>
      <c r="P220" s="185" t="s">
        <v>12407</v>
      </c>
      <c r="Q220" s="225" t="s">
        <v>15829</v>
      </c>
      <c r="R220" s="182" t="str">
        <f ca="1">IF(ISERROR($V220),"",OFFSET('Smelter Look-up'!$C$4,$V220-4,0)&amp;"")</f>
        <v>Metallurgical Products India Pvt., Ltd.</v>
      </c>
      <c r="S220" s="181" t="str">
        <f t="shared" ca="1" si="29"/>
        <v>IN</v>
      </c>
      <c r="T220" s="181" t="str">
        <f ca="1">IF(B220="","",IF(ISERROR(MATCH($J220,SorP!$B$1:$B$6226,0)),"",INDIRECT("'SorP'!$A$"&amp;MATCH($S220&amp;$J220,SorP!C:C,0))))</f>
        <v>IN-MH</v>
      </c>
      <c r="U220" s="201"/>
      <c r="V220" s="226">
        <f>IF(C220="",NA(),IF(OR(C220="Smelter not listed",C220="Smelter not yet identified"),MATCH($B220&amp;$D220,'Smelter Look-up'!$J:$J,0),MATCH($B220&amp;$C220,'Smelter Look-up'!$J:$J,0)))</f>
        <v>362</v>
      </c>
      <c r="X220" s="227">
        <f t="shared" si="30"/>
        <v>0</v>
      </c>
      <c r="AB220" s="228" t="str">
        <f t="shared" si="31"/>
        <v>TantalumMetallurgical Products India Pvt., Ltd.</v>
      </c>
    </row>
    <row r="221" spans="1:28" s="227" customFormat="1" ht="76.5">
      <c r="A221" s="181" t="s">
        <v>1356</v>
      </c>
      <c r="B221" s="182" t="s">
        <v>1098</v>
      </c>
      <c r="C221" s="186" t="s">
        <v>2124</v>
      </c>
      <c r="D221" s="230" t="s">
        <v>2124</v>
      </c>
      <c r="E221" s="182" t="s">
        <v>1075</v>
      </c>
      <c r="F221" s="182" t="s">
        <v>1356</v>
      </c>
      <c r="G221" s="182" t="s">
        <v>13177</v>
      </c>
      <c r="H221" s="183" t="s">
        <v>16371</v>
      </c>
      <c r="I221" s="184" t="s">
        <v>1659</v>
      </c>
      <c r="J221" s="184" t="s">
        <v>15382</v>
      </c>
      <c r="K221" s="224" t="s">
        <v>16372</v>
      </c>
      <c r="L221" s="224" t="s">
        <v>16373</v>
      </c>
      <c r="M221" s="224" t="s">
        <v>15826</v>
      </c>
      <c r="N221" s="224" t="s">
        <v>15827</v>
      </c>
      <c r="O221" s="224" t="s">
        <v>16374</v>
      </c>
      <c r="P221" s="185" t="s">
        <v>12407</v>
      </c>
      <c r="Q221" s="225" t="s">
        <v>15829</v>
      </c>
      <c r="R221" s="182" t="str">
        <f ca="1">IF(ISERROR($V221),"",OFFSET('Smelter Look-up'!$C$4,$V221-4,0)&amp;"")</f>
        <v>MMTC-PAMP India Pvt., Ltd.</v>
      </c>
      <c r="S221" s="181" t="str">
        <f t="shared" ca="1" si="29"/>
        <v>IN</v>
      </c>
      <c r="T221" s="181" t="str">
        <f ca="1">IF(B221="","",IF(ISERROR(MATCH($J221,SorP!$B$1:$B$6226,0)),"",INDIRECT("'SorP'!$A$"&amp;MATCH($S221&amp;$J221,SorP!C:C,0))))</f>
        <v>IN-HR</v>
      </c>
      <c r="U221" s="201"/>
      <c r="V221" s="226">
        <f>IF(C221="",NA(),IF(OR(C221="Smelter not listed",C221="Smelter not yet identified"),MATCH($B221&amp;$D221,'Smelter Look-up'!$J:$J,0),MATCH($B221&amp;$C221,'Smelter Look-up'!$J:$J,0)))</f>
        <v>193</v>
      </c>
      <c r="X221" s="227">
        <f t="shared" si="30"/>
        <v>0</v>
      </c>
      <c r="AB221" s="228" t="str">
        <f t="shared" si="31"/>
        <v>GoldMMTC-PAMP India Pvt., Ltd.</v>
      </c>
    </row>
    <row r="222" spans="1:28" s="227" customFormat="1" ht="20.25">
      <c r="A222" s="181" t="s">
        <v>13773</v>
      </c>
      <c r="B222" s="182" t="s">
        <v>1098</v>
      </c>
      <c r="C222" s="186" t="s">
        <v>13758</v>
      </c>
      <c r="D222" s="230" t="s">
        <v>13758</v>
      </c>
      <c r="E222" s="182" t="s">
        <v>1075</v>
      </c>
      <c r="F222" s="182" t="s">
        <v>13773</v>
      </c>
      <c r="G222" s="182" t="s">
        <v>13177</v>
      </c>
      <c r="H222" s="183"/>
      <c r="I222" s="184" t="s">
        <v>13781</v>
      </c>
      <c r="J222" s="184" t="s">
        <v>16375</v>
      </c>
      <c r="K222" s="224"/>
      <c r="L222" s="224"/>
      <c r="M222" s="224"/>
      <c r="N222" s="224"/>
      <c r="O222" s="224" t="s">
        <v>16376</v>
      </c>
      <c r="P222" s="185"/>
      <c r="Q222" s="225"/>
      <c r="R222" s="182" t="str">
        <f ca="1">IF(ISERROR($V222),"",OFFSET('Smelter Look-up'!$C$4,$V222-4,0)&amp;"")</f>
        <v>Shirpur Gold Refinery Ltd.</v>
      </c>
      <c r="S222" s="181" t="str">
        <f t="shared" ca="1" si="29"/>
        <v>IN</v>
      </c>
      <c r="T222" s="181" t="str">
        <f ca="1">IF(B222="","",IF(ISERROR(MATCH($J222,SorP!$B$1:$B$6226,0)),"",INDIRECT("'SorP'!$A$"&amp;MATCH($S222&amp;$J222,SorP!C:C,0))))</f>
        <v/>
      </c>
      <c r="U222" s="201"/>
      <c r="V222" s="226">
        <f>IF(C222="",NA(),IF(OR(C222="Smelter not listed",C222="Smelter not yet identified"),MATCH($B222&amp;$D222,'Smelter Look-up'!$J:$J,0),MATCH($B222&amp;$C222,'Smelter Look-up'!$J:$J,0)))</f>
        <v>259</v>
      </c>
      <c r="X222" s="227">
        <f t="shared" si="30"/>
        <v>0</v>
      </c>
      <c r="AB222" s="228" t="str">
        <f t="shared" si="31"/>
        <v>GoldShirpur Gold Refinery Ltd.</v>
      </c>
    </row>
    <row r="223" spans="1:28" s="227" customFormat="1" ht="102">
      <c r="A223" s="181" t="s">
        <v>2248</v>
      </c>
      <c r="B223" s="182" t="s">
        <v>1098</v>
      </c>
      <c r="C223" s="186" t="s">
        <v>15285</v>
      </c>
      <c r="D223" s="230" t="s">
        <v>15285</v>
      </c>
      <c r="E223" s="182" t="s">
        <v>1075</v>
      </c>
      <c r="F223" s="182" t="s">
        <v>2248</v>
      </c>
      <c r="G223" s="182" t="s">
        <v>13177</v>
      </c>
      <c r="H223" s="183"/>
      <c r="I223" s="184" t="s">
        <v>2249</v>
      </c>
      <c r="J223" s="184" t="s">
        <v>16377</v>
      </c>
      <c r="K223" s="224"/>
      <c r="L223" s="224"/>
      <c r="M223" s="224"/>
      <c r="N223" s="224"/>
      <c r="O223" s="224" t="s">
        <v>16378</v>
      </c>
      <c r="P223" s="185"/>
      <c r="Q223" s="225"/>
      <c r="R223" s="182" t="str">
        <f ca="1">IF(ISERROR($V223),"",OFFSET('Smelter Look-up'!$C$4,$V223-4,0)&amp;"")</f>
        <v>GGC Gujrat Gold Centre Pvt. Ltd.</v>
      </c>
      <c r="S223" s="181" t="str">
        <f t="shared" ca="1" si="29"/>
        <v>IN</v>
      </c>
      <c r="T223" s="181" t="str">
        <f ca="1">IF(B223="","",IF(ISERROR(MATCH($J223,SorP!$B$1:$B$6226,0)),"",INDIRECT("'SorP'!$A$"&amp;MATCH($S223&amp;$J223,SorP!C:C,0))))</f>
        <v/>
      </c>
      <c r="U223" s="201"/>
      <c r="V223" s="226">
        <f>IF(C223="",NA(),IF(OR(C223="Smelter not listed",C223="Smelter not yet identified"),MATCH($B223&amp;$D223,'Smelter Look-up'!$J:$J,0),MATCH($B223&amp;$C223,'Smelter Look-up'!$J:$J,0)))</f>
        <v>91</v>
      </c>
      <c r="X223" s="227">
        <f t="shared" si="30"/>
        <v>0</v>
      </c>
      <c r="AB223" s="228" t="str">
        <f t="shared" si="31"/>
        <v>GoldGGC Gujrat Gold Centre Pvt. Ltd.</v>
      </c>
    </row>
    <row r="224" spans="1:28" s="227" customFormat="1" ht="20.25">
      <c r="A224" s="181" t="s">
        <v>2273</v>
      </c>
      <c r="B224" s="182" t="s">
        <v>1098</v>
      </c>
      <c r="C224" s="186" t="s">
        <v>2272</v>
      </c>
      <c r="D224" s="230" t="s">
        <v>2272</v>
      </c>
      <c r="E224" s="182" t="s">
        <v>1075</v>
      </c>
      <c r="F224" s="182" t="s">
        <v>2273</v>
      </c>
      <c r="G224" s="182" t="s">
        <v>13177</v>
      </c>
      <c r="H224" s="183"/>
      <c r="I224" s="184" t="s">
        <v>2274</v>
      </c>
      <c r="J224" s="184" t="s">
        <v>16379</v>
      </c>
      <c r="K224" s="224"/>
      <c r="L224" s="224"/>
      <c r="M224" s="224"/>
      <c r="N224" s="224"/>
      <c r="O224" s="224" t="s">
        <v>16380</v>
      </c>
      <c r="P224" s="185"/>
      <c r="Q224" s="225"/>
      <c r="R224" s="182" t="str">
        <f ca="1">IF(ISERROR($V224),"",OFFSET('Smelter Look-up'!$C$4,$V224-4,0)&amp;"")</f>
        <v>Sai Refinery</v>
      </c>
      <c r="S224" s="181" t="str">
        <f t="shared" ca="1" si="29"/>
        <v>IN</v>
      </c>
      <c r="T224" s="181" t="str">
        <f ca="1">IF(B224="","",IF(ISERROR(MATCH($J224,SorP!$B$1:$B$6226,0)),"",INDIRECT("'SorP'!$A$"&amp;MATCH($S224&amp;$J224,SorP!C:C,0))))</f>
        <v/>
      </c>
      <c r="U224" s="201"/>
      <c r="V224" s="226">
        <f>IF(C224="",NA(),IF(OR(C224="Smelter not listed",C224="Smelter not yet identified"),MATCH($B224&amp;$D224,'Smelter Look-up'!$J:$J,0),MATCH($B224&amp;$C224,'Smelter Look-up'!$J:$J,0)))</f>
        <v>235</v>
      </c>
      <c r="X224" s="227">
        <f t="shared" si="30"/>
        <v>0</v>
      </c>
      <c r="AB224" s="228" t="str">
        <f t="shared" si="31"/>
        <v>GoldSai Refinery</v>
      </c>
    </row>
    <row r="225" spans="1:28" s="227" customFormat="1" ht="20.25">
      <c r="A225" s="181" t="s">
        <v>13771</v>
      </c>
      <c r="B225" s="182" t="s">
        <v>1098</v>
      </c>
      <c r="C225" s="186" t="s">
        <v>13756</v>
      </c>
      <c r="D225" s="230" t="s">
        <v>13756</v>
      </c>
      <c r="E225" s="182" t="s">
        <v>1075</v>
      </c>
      <c r="F225" s="182" t="s">
        <v>13771</v>
      </c>
      <c r="G225" s="182" t="s">
        <v>13177</v>
      </c>
      <c r="H225" s="183"/>
      <c r="I225" s="184" t="s">
        <v>13783</v>
      </c>
      <c r="J225" s="184" t="s">
        <v>6149</v>
      </c>
      <c r="K225" s="224"/>
      <c r="L225" s="224"/>
      <c r="M225" s="224"/>
      <c r="N225" s="224"/>
      <c r="O225" s="224" t="s">
        <v>16366</v>
      </c>
      <c r="P225" s="185"/>
      <c r="Q225" s="225"/>
      <c r="R225" s="182" t="str">
        <f ca="1">IF(ISERROR($V225),"",OFFSET('Smelter Look-up'!$C$4,$V225-4,0)&amp;"")</f>
        <v>JALAN &amp; Company</v>
      </c>
      <c r="S225" s="181" t="str">
        <f t="shared" ca="1" si="29"/>
        <v>IN</v>
      </c>
      <c r="T225" s="181" t="str">
        <f ca="1">IF(B225="","",IF(ISERROR(MATCH($J225,SorP!$B$1:$B$6226,0)),"",INDIRECT("'SorP'!$A$"&amp;MATCH($S225&amp;$J225,SorP!C:C,0))))</f>
        <v>IN-DL</v>
      </c>
      <c r="U225" s="201"/>
      <c r="V225" s="226">
        <f>IF(C225="",NA(),IF(OR(C225="Smelter not listed",C225="Smelter not yet identified"),MATCH($B225&amp;$D225,'Smelter Look-up'!$J:$J,0),MATCH($B225&amp;$C225,'Smelter Look-up'!$J:$J,0)))</f>
        <v>126</v>
      </c>
      <c r="X225" s="227">
        <f t="shared" si="30"/>
        <v>0</v>
      </c>
      <c r="AB225" s="228" t="str">
        <f t="shared" si="31"/>
        <v>GoldJALAN &amp; Company</v>
      </c>
    </row>
    <row r="226" spans="1:28" s="227" customFormat="1" ht="20.25">
      <c r="A226" s="181" t="s">
        <v>13697</v>
      </c>
      <c r="B226" s="182" t="s">
        <v>1098</v>
      </c>
      <c r="C226" s="186" t="s">
        <v>13696</v>
      </c>
      <c r="D226" s="230" t="s">
        <v>13696</v>
      </c>
      <c r="E226" s="182" t="s">
        <v>1075</v>
      </c>
      <c r="F226" s="182" t="s">
        <v>13697</v>
      </c>
      <c r="G226" s="182" t="s">
        <v>13177</v>
      </c>
      <c r="H226" s="183"/>
      <c r="I226" s="184" t="s">
        <v>13742</v>
      </c>
      <c r="J226" s="184" t="s">
        <v>6134</v>
      </c>
      <c r="K226" s="224"/>
      <c r="L226" s="224"/>
      <c r="M226" s="224"/>
      <c r="N226" s="224"/>
      <c r="O226" s="224" t="s">
        <v>16366</v>
      </c>
      <c r="P226" s="185"/>
      <c r="Q226" s="225"/>
      <c r="R226" s="182" t="str">
        <f ca="1">IF(ISERROR($V226),"",OFFSET('Smelter Look-up'!$C$4,$V226-4,0)&amp;"")</f>
        <v>CGR Metalloys Pvt Ltd.</v>
      </c>
      <c r="S226" s="181" t="str">
        <f t="shared" ca="1" si="29"/>
        <v>IN</v>
      </c>
      <c r="T226" s="181" t="str">
        <f ca="1">IF(B226="","",IF(ISERROR(MATCH($J226,SorP!$B$1:$B$6226,0)),"",INDIRECT("'SorP'!$A$"&amp;MATCH($S226&amp;$J226,SorP!C:C,0))))</f>
        <v>IN-KL</v>
      </c>
      <c r="U226" s="201"/>
      <c r="V226" s="226">
        <f>IF(C226="",NA(),IF(OR(C226="Smelter not listed",C226="Smelter not yet identified"),MATCH($B226&amp;$D226,'Smelter Look-up'!$J:$J,0),MATCH($B226&amp;$C226,'Smelter Look-up'!$J:$J,0)))</f>
        <v>53</v>
      </c>
      <c r="X226" s="227">
        <f t="shared" si="30"/>
        <v>0</v>
      </c>
      <c r="AB226" s="228" t="str">
        <f t="shared" si="31"/>
        <v>GoldCGR Metalloys Pvt Ltd.</v>
      </c>
    </row>
    <row r="227" spans="1:28" s="227" customFormat="1" ht="25.5">
      <c r="A227" s="181" t="s">
        <v>13708</v>
      </c>
      <c r="B227" s="182" t="s">
        <v>1098</v>
      </c>
      <c r="C227" s="186" t="s">
        <v>13707</v>
      </c>
      <c r="D227" s="230" t="s">
        <v>13707</v>
      </c>
      <c r="E227" s="182" t="s">
        <v>1075</v>
      </c>
      <c r="F227" s="182" t="s">
        <v>13708</v>
      </c>
      <c r="G227" s="182" t="s">
        <v>13177</v>
      </c>
      <c r="H227" s="183"/>
      <c r="I227" s="184" t="s">
        <v>14984</v>
      </c>
      <c r="J227" s="184" t="s">
        <v>16377</v>
      </c>
      <c r="K227" s="224"/>
      <c r="L227" s="224"/>
      <c r="M227" s="224"/>
      <c r="N227" s="224"/>
      <c r="O227" s="224" t="s">
        <v>16381</v>
      </c>
      <c r="P227" s="185"/>
      <c r="Q227" s="225"/>
      <c r="R227" s="182" t="str">
        <f ca="1">IF(ISERROR($V227),"",OFFSET('Smelter Look-up'!$C$4,$V227-4,0)&amp;"")</f>
        <v>Sovereign Metals</v>
      </c>
      <c r="S227" s="181" t="str">
        <f t="shared" ca="1" si="29"/>
        <v>IN</v>
      </c>
      <c r="T227" s="181" t="str">
        <f ca="1">IF(B227="","",IF(ISERROR(MATCH($J227,SorP!$B$1:$B$6226,0)),"",INDIRECT("'SorP'!$A$"&amp;MATCH($S227&amp;$J227,SorP!C:C,0))))</f>
        <v/>
      </c>
      <c r="U227" s="201"/>
      <c r="V227" s="226">
        <f>IF(C227="",NA(),IF(OR(C227="Smelter not listed",C227="Smelter not yet identified"),MATCH($B227&amp;$D227,'Smelter Look-up'!$J:$J,0),MATCH($B227&amp;$C227,'Smelter Look-up'!$J:$J,0)))</f>
        <v>270</v>
      </c>
      <c r="X227" s="227">
        <f t="shared" si="30"/>
        <v>0</v>
      </c>
      <c r="AB227" s="228" t="str">
        <f t="shared" si="31"/>
        <v>GoldSovereign Metals</v>
      </c>
    </row>
    <row r="228" spans="1:28" s="227" customFormat="1" ht="25.5">
      <c r="A228" s="181" t="s">
        <v>13767</v>
      </c>
      <c r="B228" s="182" t="s">
        <v>1098</v>
      </c>
      <c r="C228" s="186" t="s">
        <v>13745</v>
      </c>
      <c r="D228" s="230" t="s">
        <v>13745</v>
      </c>
      <c r="E228" s="182" t="s">
        <v>1075</v>
      </c>
      <c r="F228" s="182" t="s">
        <v>13767</v>
      </c>
      <c r="G228" s="182" t="s">
        <v>13177</v>
      </c>
      <c r="H228" s="183"/>
      <c r="I228" s="184" t="s">
        <v>13781</v>
      </c>
      <c r="J228" s="184" t="s">
        <v>15280</v>
      </c>
      <c r="K228" s="224"/>
      <c r="L228" s="224"/>
      <c r="M228" s="224"/>
      <c r="N228" s="224"/>
      <c r="O228" s="224" t="s">
        <v>16382</v>
      </c>
      <c r="P228" s="185"/>
      <c r="Q228" s="225"/>
      <c r="R228" s="182" t="str">
        <f ca="1">IF(ISERROR($V228),"",OFFSET('Smelter Look-up'!$C$4,$V228-4,0)&amp;"")</f>
        <v>Augmont Enterprises Private Limited</v>
      </c>
      <c r="S228" s="181" t="str">
        <f t="shared" ca="1" si="29"/>
        <v>IN</v>
      </c>
      <c r="T228" s="181" t="str">
        <f ca="1">IF(B228="","",IF(ISERROR(MATCH($J228,SorP!$B$1:$B$6226,0)),"",INDIRECT("'SorP'!$A$"&amp;MATCH($S228&amp;$J228,SorP!C:C,0))))</f>
        <v>IN-MH</v>
      </c>
      <c r="U228" s="201"/>
      <c r="V228" s="226">
        <f>IF(C228="",NA(),IF(OR(C228="Smelter not listed",C228="Smelter not yet identified"),MATCH($B228&amp;$D228,'Smelter Look-up'!$J:$J,0),MATCH($B228&amp;$C228,'Smelter Look-up'!$J:$J,0)))</f>
        <v>38</v>
      </c>
      <c r="X228" s="227">
        <f t="shared" si="30"/>
        <v>0</v>
      </c>
      <c r="AB228" s="228" t="str">
        <f t="shared" si="31"/>
        <v>GoldAugmont Enterprises Private Limited</v>
      </c>
    </row>
    <row r="229" spans="1:28" s="227" customFormat="1" ht="20.25">
      <c r="A229" s="181" t="s">
        <v>13772</v>
      </c>
      <c r="B229" s="182" t="s">
        <v>1098</v>
      </c>
      <c r="C229" s="186" t="s">
        <v>13757</v>
      </c>
      <c r="D229" s="230" t="s">
        <v>13757</v>
      </c>
      <c r="E229" s="182" t="s">
        <v>1075</v>
      </c>
      <c r="F229" s="182" t="s">
        <v>13772</v>
      </c>
      <c r="G229" s="182" t="s">
        <v>13177</v>
      </c>
      <c r="H229" s="183"/>
      <c r="I229" s="184" t="s">
        <v>13784</v>
      </c>
      <c r="J229" s="184" t="s">
        <v>16383</v>
      </c>
      <c r="K229" s="224"/>
      <c r="L229" s="224"/>
      <c r="M229" s="224"/>
      <c r="N229" s="224"/>
      <c r="O229" s="224" t="s">
        <v>16366</v>
      </c>
      <c r="P229" s="185"/>
      <c r="Q229" s="225"/>
      <c r="R229" s="182" t="str">
        <f ca="1">IF(ISERROR($V229),"",OFFSET('Smelter Look-up'!$C$4,$V229-4,0)&amp;"")</f>
        <v>Kundan Care Products Ltd.</v>
      </c>
      <c r="S229" s="181" t="str">
        <f t="shared" ca="1" si="29"/>
        <v>IN</v>
      </c>
      <c r="T229" s="181" t="str">
        <f ca="1">IF(B229="","",IF(ISERROR(MATCH($J229,SorP!$B$1:$B$6226,0)),"",INDIRECT("'SorP'!$A$"&amp;MATCH($S229&amp;$J229,SorP!C:C,0))))</f>
        <v/>
      </c>
      <c r="U229" s="201"/>
      <c r="V229" s="226">
        <f>IF(C229="",NA(),IF(OR(C229="Smelter not listed",C229="Smelter not yet identified"),MATCH($B229&amp;$D229,'Smelter Look-up'!$J:$J,0),MATCH($B229&amp;$C229,'Smelter Look-up'!$J:$J,0)))</f>
        <v>153</v>
      </c>
      <c r="X229" s="227">
        <f t="shared" si="30"/>
        <v>0</v>
      </c>
      <c r="AB229" s="228" t="str">
        <f t="shared" si="31"/>
        <v>GoldKundan Care Products Ltd.</v>
      </c>
    </row>
    <row r="230" spans="1:28" s="227" customFormat="1" ht="25.5">
      <c r="A230" s="181" t="s">
        <v>14920</v>
      </c>
      <c r="B230" s="182" t="s">
        <v>1098</v>
      </c>
      <c r="C230" s="186" t="s">
        <v>14919</v>
      </c>
      <c r="D230" s="230" t="s">
        <v>14919</v>
      </c>
      <c r="E230" s="182" t="s">
        <v>1075</v>
      </c>
      <c r="F230" s="182" t="s">
        <v>14920</v>
      </c>
      <c r="G230" s="182" t="s">
        <v>13177</v>
      </c>
      <c r="H230" s="183"/>
      <c r="I230" s="184" t="s">
        <v>14979</v>
      </c>
      <c r="J230" s="184" t="s">
        <v>16384</v>
      </c>
      <c r="K230" s="224"/>
      <c r="L230" s="224"/>
      <c r="M230" s="224"/>
      <c r="N230" s="224"/>
      <c r="O230" s="224"/>
      <c r="P230" s="185"/>
      <c r="Q230" s="225"/>
      <c r="R230" s="182" t="str">
        <f ca="1">IF(ISERROR($V230),"",OFFSET('Smelter Look-up'!$C$4,$V230-4,0)&amp;"")</f>
        <v>Emerald Jewel Industry India Limited (Unit 1)</v>
      </c>
      <c r="S230" s="181" t="str">
        <f t="shared" ref="S230:S260" ca="1" si="32">IF(B230="","",IF(ISERROR(MATCH($E230,CL,0)),"Unknown",INDIRECT("'C'!$A$"&amp;MATCH($E230,CL,0)+1)))</f>
        <v>IN</v>
      </c>
      <c r="T230" s="181" t="str">
        <f ca="1">IF(B230="","",IF(ISERROR(MATCH($J230,SorP!$B$1:$B$6226,0)),"",INDIRECT("'SorP'!$A$"&amp;MATCH($S230&amp;$J230,SorP!C:C,0))))</f>
        <v/>
      </c>
      <c r="U230" s="201"/>
      <c r="V230" s="226">
        <f>IF(C230="",NA(),IF(OR(C230="Smelter not listed",C230="Smelter not yet identified"),MATCH($B230&amp;$D230,'Smelter Look-up'!$J:$J,0),MATCH($B230&amp;$C230,'Smelter Look-up'!$J:$J,0)))</f>
        <v>78</v>
      </c>
      <c r="X230" s="227">
        <f t="shared" ref="X230:X260" si="33">IF(AND(C230="Smelter not listed",OR(LEN(D230)=0,LEN(E230)=0)),1,0)</f>
        <v>0</v>
      </c>
      <c r="AB230" s="228" t="str">
        <f t="shared" ref="AB230:AB260" si="34">B230&amp;C230</f>
        <v>GoldEmerald Jewel Industry India Limited (Unit 1)</v>
      </c>
    </row>
    <row r="231" spans="1:28" s="227" customFormat="1" ht="25.5">
      <c r="A231" s="181" t="s">
        <v>14922</v>
      </c>
      <c r="B231" s="182" t="s">
        <v>1098</v>
      </c>
      <c r="C231" s="186" t="s">
        <v>14921</v>
      </c>
      <c r="D231" s="230" t="s">
        <v>14921</v>
      </c>
      <c r="E231" s="182" t="s">
        <v>1075</v>
      </c>
      <c r="F231" s="182" t="s">
        <v>14922</v>
      </c>
      <c r="G231" s="182" t="s">
        <v>13177</v>
      </c>
      <c r="H231" s="183"/>
      <c r="I231" s="184" t="s">
        <v>14979</v>
      </c>
      <c r="J231" s="184" t="s">
        <v>16384</v>
      </c>
      <c r="K231" s="224"/>
      <c r="L231" s="224"/>
      <c r="M231" s="224"/>
      <c r="N231" s="224"/>
      <c r="O231" s="224"/>
      <c r="P231" s="185"/>
      <c r="Q231" s="225"/>
      <c r="R231" s="182" t="str">
        <f ca="1">IF(ISERROR($V231),"",OFFSET('Smelter Look-up'!$C$4,$V231-4,0)&amp;"")</f>
        <v>Emerald Jewel Industry India Limited (Unit 2)</v>
      </c>
      <c r="S231" s="181" t="str">
        <f t="shared" ca="1" si="32"/>
        <v>IN</v>
      </c>
      <c r="T231" s="181" t="str">
        <f ca="1">IF(B231="","",IF(ISERROR(MATCH($J231,SorP!$B$1:$B$6226,0)),"",INDIRECT("'SorP'!$A$"&amp;MATCH($S231&amp;$J231,SorP!C:C,0))))</f>
        <v/>
      </c>
      <c r="U231" s="201"/>
      <c r="V231" s="226">
        <f>IF(C231="",NA(),IF(OR(C231="Smelter not listed",C231="Smelter not yet identified"),MATCH($B231&amp;$D231,'Smelter Look-up'!$J:$J,0),MATCH($B231&amp;$C231,'Smelter Look-up'!$J:$J,0)))</f>
        <v>79</v>
      </c>
      <c r="X231" s="227">
        <f t="shared" si="33"/>
        <v>0</v>
      </c>
      <c r="AB231" s="228" t="str">
        <f t="shared" si="34"/>
        <v>GoldEmerald Jewel Industry India Limited (Unit 2)</v>
      </c>
    </row>
    <row r="232" spans="1:28" s="227" customFormat="1" ht="25.5">
      <c r="A232" s="181" t="s">
        <v>14924</v>
      </c>
      <c r="B232" s="182" t="s">
        <v>1098</v>
      </c>
      <c r="C232" s="186" t="s">
        <v>14923</v>
      </c>
      <c r="D232" s="230" t="s">
        <v>14923</v>
      </c>
      <c r="E232" s="182" t="s">
        <v>1075</v>
      </c>
      <c r="F232" s="182" t="s">
        <v>14924</v>
      </c>
      <c r="G232" s="182" t="s">
        <v>13177</v>
      </c>
      <c r="H232" s="183"/>
      <c r="I232" s="184" t="s">
        <v>14979</v>
      </c>
      <c r="J232" s="184" t="s">
        <v>16384</v>
      </c>
      <c r="K232" s="224"/>
      <c r="L232" s="224"/>
      <c r="M232" s="224"/>
      <c r="N232" s="224"/>
      <c r="O232" s="224"/>
      <c r="P232" s="185"/>
      <c r="Q232" s="225"/>
      <c r="R232" s="182" t="str">
        <f ca="1">IF(ISERROR($V232),"",OFFSET('Smelter Look-up'!$C$4,$V232-4,0)&amp;"")</f>
        <v>Emerald Jewel Industry India Limited (Unit 3)</v>
      </c>
      <c r="S232" s="181" t="str">
        <f t="shared" ca="1" si="32"/>
        <v>IN</v>
      </c>
      <c r="T232" s="181" t="str">
        <f ca="1">IF(B232="","",IF(ISERROR(MATCH($J232,SorP!$B$1:$B$6226,0)),"",INDIRECT("'SorP'!$A$"&amp;MATCH($S232&amp;$J232,SorP!C:C,0))))</f>
        <v/>
      </c>
      <c r="U232" s="201"/>
      <c r="V232" s="226">
        <f>IF(C232="",NA(),IF(OR(C232="Smelter not listed",C232="Smelter not yet identified"),MATCH($B232&amp;$D232,'Smelter Look-up'!$J:$J,0),MATCH($B232&amp;$C232,'Smelter Look-up'!$J:$J,0)))</f>
        <v>80</v>
      </c>
      <c r="X232" s="227">
        <f t="shared" si="33"/>
        <v>0</v>
      </c>
      <c r="AB232" s="228" t="str">
        <f t="shared" si="34"/>
        <v>GoldEmerald Jewel Industry India Limited (Unit 3)</v>
      </c>
    </row>
    <row r="233" spans="1:28" s="227" customFormat="1" ht="25.5">
      <c r="A233" s="181" t="s">
        <v>14926</v>
      </c>
      <c r="B233" s="182" t="s">
        <v>1098</v>
      </c>
      <c r="C233" s="186" t="s">
        <v>14925</v>
      </c>
      <c r="D233" s="230" t="s">
        <v>14925</v>
      </c>
      <c r="E233" s="182" t="s">
        <v>1075</v>
      </c>
      <c r="F233" s="182" t="s">
        <v>14926</v>
      </c>
      <c r="G233" s="182" t="s">
        <v>13177</v>
      </c>
      <c r="H233" s="183"/>
      <c r="I233" s="184" t="s">
        <v>14979</v>
      </c>
      <c r="J233" s="184" t="s">
        <v>16384</v>
      </c>
      <c r="K233" s="224"/>
      <c r="L233" s="224"/>
      <c r="M233" s="224"/>
      <c r="N233" s="224"/>
      <c r="O233" s="224"/>
      <c r="P233" s="185"/>
      <c r="Q233" s="225"/>
      <c r="R233" s="182" t="str">
        <f ca="1">IF(ISERROR($V233),"",OFFSET('Smelter Look-up'!$C$4,$V233-4,0)&amp;"")</f>
        <v>Emerald Jewel Industry India Limited (Unit 4)</v>
      </c>
      <c r="S233" s="181" t="str">
        <f t="shared" ca="1" si="32"/>
        <v>IN</v>
      </c>
      <c r="T233" s="181" t="str">
        <f ca="1">IF(B233="","",IF(ISERROR(MATCH($J233,SorP!$B$1:$B$6226,0)),"",INDIRECT("'SorP'!$A$"&amp;MATCH($S233&amp;$J233,SorP!C:C,0))))</f>
        <v/>
      </c>
      <c r="U233" s="201"/>
      <c r="V233" s="226">
        <f>IF(C233="",NA(),IF(OR(C233="Smelter not listed",C233="Smelter not yet identified"),MATCH($B233&amp;$D233,'Smelter Look-up'!$J:$J,0),MATCH($B233&amp;$C233,'Smelter Look-up'!$J:$J,0)))</f>
        <v>81</v>
      </c>
      <c r="X233" s="227">
        <f t="shared" si="33"/>
        <v>0</v>
      </c>
      <c r="AB233" s="228" t="str">
        <f t="shared" si="34"/>
        <v>GoldEmerald Jewel Industry India Limited (Unit 4)</v>
      </c>
    </row>
    <row r="234" spans="1:28" s="227" customFormat="1" ht="20.25">
      <c r="A234" s="181" t="s">
        <v>14934</v>
      </c>
      <c r="B234" s="182" t="s">
        <v>1098</v>
      </c>
      <c r="C234" s="186" t="s">
        <v>14933</v>
      </c>
      <c r="D234" s="230" t="s">
        <v>14933</v>
      </c>
      <c r="E234" s="182" t="s">
        <v>1075</v>
      </c>
      <c r="F234" s="182" t="s">
        <v>14934</v>
      </c>
      <c r="G234" s="182" t="s">
        <v>13177</v>
      </c>
      <c r="H234" s="183"/>
      <c r="I234" s="184" t="s">
        <v>14981</v>
      </c>
      <c r="J234" s="184" t="s">
        <v>16383</v>
      </c>
      <c r="K234" s="224"/>
      <c r="L234" s="224"/>
      <c r="M234" s="224"/>
      <c r="N234" s="224"/>
      <c r="O234" s="224" t="s">
        <v>16385</v>
      </c>
      <c r="P234" s="185"/>
      <c r="Q234" s="225"/>
      <c r="R234" s="182" t="str">
        <f ca="1">IF(ISERROR($V234),"",OFFSET('Smelter Look-up'!$C$4,$V234-4,0)&amp;"")</f>
        <v>MD Overseas</v>
      </c>
      <c r="S234" s="181" t="str">
        <f t="shared" ca="1" si="32"/>
        <v>IN</v>
      </c>
      <c r="T234" s="181" t="str">
        <f ca="1">IF(B234="","",IF(ISERROR(MATCH($J234,SorP!$B$1:$B$6226,0)),"",INDIRECT("'SorP'!$A$"&amp;MATCH($S234&amp;$J234,SorP!C:C,0))))</f>
        <v/>
      </c>
      <c r="U234" s="201"/>
      <c r="V234" s="226">
        <f>IF(C234="",NA(),IF(OR(C234="Smelter not listed",C234="Smelter not yet identified"),MATCH($B234&amp;$D234,'Smelter Look-up'!$J:$J,0),MATCH($B234&amp;$C234,'Smelter Look-up'!$J:$J,0)))</f>
        <v>171</v>
      </c>
      <c r="X234" s="227">
        <f t="shared" si="33"/>
        <v>0</v>
      </c>
      <c r="AB234" s="228" t="str">
        <f t="shared" si="34"/>
        <v>GoldMD Overseas</v>
      </c>
    </row>
    <row r="235" spans="1:28" s="227" customFormat="1" ht="20.25">
      <c r="A235" s="181" t="s">
        <v>16386</v>
      </c>
      <c r="B235" s="182" t="s">
        <v>1098</v>
      </c>
      <c r="C235" s="186" t="s">
        <v>16387</v>
      </c>
      <c r="D235" s="230" t="s">
        <v>16387</v>
      </c>
      <c r="E235" s="182" t="s">
        <v>1075</v>
      </c>
      <c r="F235" s="182" t="s">
        <v>16386</v>
      </c>
      <c r="G235" s="182" t="s">
        <v>13177</v>
      </c>
      <c r="H235" s="183" t="s">
        <v>15840</v>
      </c>
      <c r="I235" s="184" t="s">
        <v>15840</v>
      </c>
      <c r="J235" s="184" t="s">
        <v>15840</v>
      </c>
      <c r="K235" s="224"/>
      <c r="L235" s="224"/>
      <c r="M235" s="224"/>
      <c r="N235" s="224"/>
      <c r="O235" s="224"/>
      <c r="P235" s="185"/>
      <c r="Q235" s="225"/>
      <c r="R235" s="182" t="str">
        <f ca="1">IF(ISERROR($V235),"",OFFSET('Smelter Look-up'!$C$4,$V235-4,0)&amp;"")</f>
        <v/>
      </c>
      <c r="S235" s="181" t="str">
        <f t="shared" ca="1" si="32"/>
        <v>IN</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si="33"/>
        <v>0</v>
      </c>
      <c r="AB235" s="228" t="str">
        <f t="shared" si="34"/>
        <v>GoldKP Sanghvi International Airport</v>
      </c>
    </row>
    <row r="236" spans="1:28" s="227" customFormat="1" ht="25.5">
      <c r="A236" s="181" t="s">
        <v>15637</v>
      </c>
      <c r="B236" s="182" t="s">
        <v>1099</v>
      </c>
      <c r="C236" s="186" t="s">
        <v>15636</v>
      </c>
      <c r="D236" s="230" t="s">
        <v>15636</v>
      </c>
      <c r="E236" s="182" t="s">
        <v>1075</v>
      </c>
      <c r="F236" s="182" t="s">
        <v>15637</v>
      </c>
      <c r="G236" s="182" t="s">
        <v>13177</v>
      </c>
      <c r="H236" s="183"/>
      <c r="I236" s="184" t="s">
        <v>15646</v>
      </c>
      <c r="J236" s="184" t="s">
        <v>15381</v>
      </c>
      <c r="K236" s="224"/>
      <c r="L236" s="224"/>
      <c r="M236" s="224"/>
      <c r="N236" s="224"/>
      <c r="O236" s="224"/>
      <c r="P236" s="185"/>
      <c r="Q236" s="225"/>
      <c r="R236" s="182" t="str">
        <f ca="1">IF(ISERROR($V236),"",OFFSET('Smelter Look-up'!$C$4,$V236-4,0)&amp;"")</f>
        <v>RIKAYAA GREENTECH PRIVATE LIMITED</v>
      </c>
      <c r="S236" s="181" t="str">
        <f t="shared" ca="1" si="32"/>
        <v>IN</v>
      </c>
      <c r="T236" s="181" t="str">
        <f ca="1">IF(B236="","",IF(ISERROR(MATCH($J236,SorP!$B$1:$B$6226,0)),"",INDIRECT("'SorP'!$A$"&amp;MATCH($S236&amp;$J236,SorP!C:C,0))))</f>
        <v>IN-HP</v>
      </c>
      <c r="U236" s="201"/>
      <c r="V236" s="226">
        <f>IF(C236="",NA(),IF(OR(C236="Smelter not listed",C236="Smelter not yet identified"),MATCH($B236&amp;$D236,'Smelter Look-up'!$J:$J,0),MATCH($B236&amp;$C236,'Smelter Look-up'!$J:$J,0)))</f>
        <v>514</v>
      </c>
      <c r="X236" s="227">
        <f t="shared" si="33"/>
        <v>0</v>
      </c>
      <c r="AB236" s="228" t="str">
        <f t="shared" si="34"/>
        <v>TinRIKAYAA GREENTECH PRIVATE LIMITED</v>
      </c>
    </row>
    <row r="237" spans="1:28" s="227" customFormat="1" ht="20.25">
      <c r="A237" s="181" t="s">
        <v>15596</v>
      </c>
      <c r="B237" s="182" t="s">
        <v>1098</v>
      </c>
      <c r="C237" s="186" t="s">
        <v>15595</v>
      </c>
      <c r="D237" s="230" t="s">
        <v>15595</v>
      </c>
      <c r="E237" s="182" t="s">
        <v>1075</v>
      </c>
      <c r="F237" s="182" t="s">
        <v>15596</v>
      </c>
      <c r="G237" s="182" t="s">
        <v>13177</v>
      </c>
      <c r="H237" s="183"/>
      <c r="I237" s="184" t="s">
        <v>15681</v>
      </c>
      <c r="J237" s="184" t="s">
        <v>15390</v>
      </c>
      <c r="K237" s="224"/>
      <c r="L237" s="224"/>
      <c r="M237" s="224"/>
      <c r="N237" s="224"/>
      <c r="O237" s="224"/>
      <c r="P237" s="185"/>
      <c r="Q237" s="225"/>
      <c r="R237" s="182" t="str">
        <f ca="1">IF(ISERROR($V237),"",OFFSET('Smelter Look-up'!$C$4,$V237-4,0)&amp;"")</f>
        <v>Attero Recycling Pvt Ltd</v>
      </c>
      <c r="S237" s="181" t="str">
        <f t="shared" ca="1" si="32"/>
        <v>IN</v>
      </c>
      <c r="T237" s="181" t="str">
        <f ca="1">IF(B237="","",IF(ISERROR(MATCH($J237,SorP!$B$1:$B$6226,0)),"",INDIRECT("'SorP'!$A$"&amp;MATCH($S237&amp;$J237,SorP!C:C,0))))</f>
        <v>IN-UK</v>
      </c>
      <c r="U237" s="201"/>
      <c r="V237" s="226">
        <f>IF(C237="",NA(),IF(OR(C237="Smelter not listed",C237="Smelter not yet identified"),MATCH($B237&amp;$D237,'Smelter Look-up'!$J:$J,0),MATCH($B237&amp;$C237,'Smelter Look-up'!$J:$J,0)))</f>
        <v>36</v>
      </c>
      <c r="X237" s="227">
        <f t="shared" si="33"/>
        <v>0</v>
      </c>
      <c r="AB237" s="228" t="str">
        <f t="shared" si="34"/>
        <v>GoldAttero Recycling Pvt Ltd</v>
      </c>
    </row>
    <row r="238" spans="1:28" s="227" customFormat="1" ht="38.25">
      <c r="A238" s="181" t="s">
        <v>15345</v>
      </c>
      <c r="B238" s="182" t="s">
        <v>1099</v>
      </c>
      <c r="C238" s="186" t="s">
        <v>15344</v>
      </c>
      <c r="D238" s="230" t="s">
        <v>15344</v>
      </c>
      <c r="E238" s="182" t="s">
        <v>1074</v>
      </c>
      <c r="F238" s="182" t="s">
        <v>15345</v>
      </c>
      <c r="G238" s="182" t="s">
        <v>13177</v>
      </c>
      <c r="H238" s="183"/>
      <c r="I238" s="184" t="s">
        <v>15351</v>
      </c>
      <c r="J238" s="184" t="s">
        <v>12799</v>
      </c>
      <c r="K238" s="224" t="s">
        <v>16388</v>
      </c>
      <c r="L238" s="224" t="s">
        <v>16389</v>
      </c>
      <c r="M238" s="224" t="s">
        <v>15826</v>
      </c>
      <c r="N238" s="224" t="s">
        <v>15827</v>
      </c>
      <c r="O238" s="224" t="s">
        <v>16390</v>
      </c>
      <c r="P238" s="185" t="s">
        <v>12407</v>
      </c>
      <c r="Q238" s="225" t="s">
        <v>15829</v>
      </c>
      <c r="R238" s="182" t="str">
        <f ca="1">IF(ISERROR($V238),"",OFFSET('Smelter Look-up'!$C$4,$V238-4,0)&amp;"")</f>
        <v>PT Premium Tin Indonesia</v>
      </c>
      <c r="S238" s="181" t="str">
        <f t="shared" ca="1" si="32"/>
        <v>ID</v>
      </c>
      <c r="T238" s="181" t="str">
        <f ca="1">IF(B238="","",IF(ISERROR(MATCH($J238,SorP!$B$1:$B$6226,0)),"",INDIRECT("'SorP'!$A$"&amp;MATCH($S238&amp;$J238,SorP!C:C,0))))</f>
        <v>ID-BB</v>
      </c>
      <c r="U238" s="201"/>
      <c r="V238" s="226">
        <f>IF(C238="",NA(),IF(OR(C238="Smelter not listed",C238="Smelter not yet identified"),MATCH($B238&amp;$D238,'Smelter Look-up'!$J:$J,0),MATCH($B238&amp;$C238,'Smelter Look-up'!$J:$J,0)))</f>
        <v>504</v>
      </c>
      <c r="X238" s="227">
        <f t="shared" si="33"/>
        <v>0</v>
      </c>
      <c r="AB238" s="228" t="str">
        <f t="shared" si="34"/>
        <v>TinPT Premium Tin Indonesia</v>
      </c>
    </row>
    <row r="239" spans="1:28" s="227" customFormat="1" ht="102">
      <c r="A239" s="181" t="s">
        <v>702</v>
      </c>
      <c r="B239" s="182" t="s">
        <v>1098</v>
      </c>
      <c r="C239" s="186" t="s">
        <v>1198</v>
      </c>
      <c r="D239" s="230" t="s">
        <v>1198</v>
      </c>
      <c r="E239" s="182" t="s">
        <v>1074</v>
      </c>
      <c r="F239" s="182" t="s">
        <v>702</v>
      </c>
      <c r="G239" s="182" t="s">
        <v>13177</v>
      </c>
      <c r="H239" s="183"/>
      <c r="I239" s="184" t="s">
        <v>1607</v>
      </c>
      <c r="J239" s="184" t="s">
        <v>5954</v>
      </c>
      <c r="K239" s="224" t="s">
        <v>16391</v>
      </c>
      <c r="L239" s="224" t="s">
        <v>16392</v>
      </c>
      <c r="M239" s="224" t="s">
        <v>15826</v>
      </c>
      <c r="N239" s="224" t="s">
        <v>15827</v>
      </c>
      <c r="O239" s="224" t="s">
        <v>16393</v>
      </c>
      <c r="P239" s="185" t="s">
        <v>12407</v>
      </c>
      <c r="Q239" s="225" t="s">
        <v>15829</v>
      </c>
      <c r="R239" s="182" t="str">
        <f ca="1">IF(ISERROR($V239),"",OFFSET('Smelter Look-up'!$C$4,$V239-4,0)&amp;"")</f>
        <v>PT Aneka Tambang (Persero) Tbk</v>
      </c>
      <c r="S239" s="181" t="str">
        <f t="shared" ca="1" si="32"/>
        <v>ID</v>
      </c>
      <c r="T239" s="181" t="str">
        <f ca="1">IF(B239="","",IF(ISERROR(MATCH($J239,SorP!$B$1:$B$6226,0)),"",INDIRECT("'SorP'!$A$"&amp;MATCH($S239&amp;$J239,SorP!C:C,0))))</f>
        <v>ID-JK</v>
      </c>
      <c r="U239" s="201"/>
      <c r="V239" s="226">
        <f>IF(C239="",NA(),IF(OR(C239="Smelter not listed",C239="Smelter not yet identified"),MATCH($B239&amp;$D239,'Smelter Look-up'!$J:$J,0),MATCH($B239&amp;$C239,'Smelter Look-up'!$J:$J,0)))</f>
        <v>220</v>
      </c>
      <c r="X239" s="227">
        <f t="shared" si="33"/>
        <v>0</v>
      </c>
      <c r="AB239" s="228" t="str">
        <f t="shared" si="34"/>
        <v>GoldPT Aneka Tambang (Persero) Tbk</v>
      </c>
    </row>
    <row r="240" spans="1:28" s="227" customFormat="1" ht="63.75">
      <c r="A240" s="181" t="s">
        <v>759</v>
      </c>
      <c r="B240" s="182" t="s">
        <v>1099</v>
      </c>
      <c r="C240" s="186" t="s">
        <v>610</v>
      </c>
      <c r="D240" s="230" t="s">
        <v>610</v>
      </c>
      <c r="E240" s="182" t="s">
        <v>1074</v>
      </c>
      <c r="F240" s="182" t="s">
        <v>759</v>
      </c>
      <c r="G240" s="182" t="s">
        <v>13177</v>
      </c>
      <c r="H240" s="183" t="s">
        <v>16394</v>
      </c>
      <c r="I240" s="184" t="s">
        <v>1726</v>
      </c>
      <c r="J240" s="184" t="s">
        <v>12799</v>
      </c>
      <c r="K240" s="224" t="s">
        <v>16395</v>
      </c>
      <c r="L240" s="224" t="s">
        <v>16396</v>
      </c>
      <c r="M240" s="224" t="s">
        <v>15826</v>
      </c>
      <c r="N240" s="224" t="s">
        <v>15827</v>
      </c>
      <c r="O240" s="224" t="s">
        <v>16390</v>
      </c>
      <c r="P240" s="185" t="s">
        <v>12407</v>
      </c>
      <c r="Q240" s="225" t="s">
        <v>15829</v>
      </c>
      <c r="R240" s="182" t="str">
        <f ca="1">IF(ISERROR($V240),"",OFFSET('Smelter Look-up'!$C$4,$V240-4,0)&amp;"")</f>
        <v>PT Mitra Stania Prima</v>
      </c>
      <c r="S240" s="181" t="str">
        <f t="shared" ca="1" si="32"/>
        <v>ID</v>
      </c>
      <c r="T240" s="181" t="str">
        <f ca="1">IF(B240="","",IF(ISERROR(MATCH($J240,SorP!$B$1:$B$6226,0)),"",INDIRECT("'SorP'!$A$"&amp;MATCH($S240&amp;$J240,SorP!C:C,0))))</f>
        <v>ID-BB</v>
      </c>
      <c r="U240" s="201"/>
      <c r="V240" s="226">
        <f>IF(C240="",NA(),IF(OR(C240="Smelter not listed",C240="Smelter not yet identified"),MATCH($B240&amp;$D240,'Smelter Look-up'!$J:$J,0),MATCH($B240&amp;$C240,'Smelter Look-up'!$J:$J,0)))</f>
        <v>502</v>
      </c>
      <c r="X240" s="227">
        <f t="shared" si="33"/>
        <v>0</v>
      </c>
      <c r="AB240" s="228" t="str">
        <f t="shared" si="34"/>
        <v>TinPT Mitra Stania Prima</v>
      </c>
    </row>
    <row r="241" spans="1:28" s="227" customFormat="1" ht="114.75">
      <c r="A241" s="181" t="s">
        <v>15714</v>
      </c>
      <c r="B241" s="182" t="s">
        <v>1099</v>
      </c>
      <c r="C241" s="186" t="s">
        <v>15713</v>
      </c>
      <c r="D241" s="230" t="s">
        <v>15713</v>
      </c>
      <c r="E241" s="182" t="s">
        <v>1074</v>
      </c>
      <c r="F241" s="182" t="s">
        <v>15714</v>
      </c>
      <c r="G241" s="182" t="s">
        <v>13177</v>
      </c>
      <c r="H241" s="183" t="s">
        <v>16397</v>
      </c>
      <c r="I241" s="184" t="s">
        <v>14986</v>
      </c>
      <c r="J241" s="184" t="s">
        <v>12799</v>
      </c>
      <c r="K241" s="224" t="s">
        <v>16398</v>
      </c>
      <c r="L241" s="224" t="s">
        <v>16399</v>
      </c>
      <c r="M241" s="224" t="s">
        <v>15826</v>
      </c>
      <c r="N241" s="224" t="s">
        <v>15827</v>
      </c>
      <c r="O241" s="224" t="s">
        <v>16400</v>
      </c>
      <c r="P241" s="185" t="s">
        <v>12407</v>
      </c>
      <c r="Q241" s="225" t="s">
        <v>15829</v>
      </c>
      <c r="R241" s="182" t="str">
        <f ca="1">IF(ISERROR($V241),"",OFFSET('Smelter Look-up'!$C$4,$V241-4,0)&amp;"")</f>
        <v>PT Prima Timah Utama</v>
      </c>
      <c r="S241" s="181" t="str">
        <f t="shared" ca="1" si="32"/>
        <v>ID</v>
      </c>
      <c r="T241" s="181" t="str">
        <f ca="1">IF(B241="","",IF(ISERROR(MATCH($J241,SorP!$B$1:$B$6226,0)),"",INDIRECT("'SorP'!$A$"&amp;MATCH($S241&amp;$J241,SorP!C:C,0))))</f>
        <v>ID-BB</v>
      </c>
      <c r="U241" s="201"/>
      <c r="V241" s="226">
        <f>IF(C241="",NA(),IF(OR(C241="Smelter not listed",C241="Smelter not yet identified"),MATCH($B241&amp;$D241,'Smelter Look-up'!$J:$J,0),MATCH($B241&amp;$C241,'Smelter Look-up'!$J:$J,0)))</f>
        <v>505</v>
      </c>
      <c r="X241" s="227">
        <f t="shared" si="33"/>
        <v>0</v>
      </c>
      <c r="AB241" s="228" t="str">
        <f t="shared" si="34"/>
        <v>TinPT Prima Timah Utama</v>
      </c>
    </row>
    <row r="242" spans="1:28" s="227" customFormat="1" ht="63.75">
      <c r="A242" s="181" t="s">
        <v>16401</v>
      </c>
      <c r="B242" s="182" t="s">
        <v>1099</v>
      </c>
      <c r="C242" s="186" t="s">
        <v>16402</v>
      </c>
      <c r="D242" s="230" t="s">
        <v>16402</v>
      </c>
      <c r="E242" s="182" t="s">
        <v>1074</v>
      </c>
      <c r="F242" s="182" t="s">
        <v>16401</v>
      </c>
      <c r="G242" s="182" t="s">
        <v>13177</v>
      </c>
      <c r="H242" s="183" t="s">
        <v>16403</v>
      </c>
      <c r="I242" s="184" t="s">
        <v>1726</v>
      </c>
      <c r="J242" s="184" t="s">
        <v>12799</v>
      </c>
      <c r="K242" s="224" t="s">
        <v>16404</v>
      </c>
      <c r="L242" s="224" t="s">
        <v>16405</v>
      </c>
      <c r="M242" s="224" t="s">
        <v>15886</v>
      </c>
      <c r="N242" s="224" t="s">
        <v>16406</v>
      </c>
      <c r="O242" s="224" t="s">
        <v>16407</v>
      </c>
      <c r="P242" s="185" t="s">
        <v>476</v>
      </c>
      <c r="Q242" s="225" t="s">
        <v>16408</v>
      </c>
      <c r="R242" s="182" t="str">
        <f ca="1">IF(ISERROR($V242),"",OFFSET('Smelter Look-up'!$C$4,$V242-4,0)&amp;"")</f>
        <v/>
      </c>
      <c r="S242" s="181" t="str">
        <f t="shared" ca="1" si="32"/>
        <v>ID</v>
      </c>
      <c r="T242" s="181" t="str">
        <f ca="1">IF(B242="","",IF(ISERROR(MATCH($J242,SorP!$B$1:$B$6226,0)),"",INDIRECT("'SorP'!$A$"&amp;MATCH($S242&amp;$J242,SorP!C:C,0))))</f>
        <v>ID-BB</v>
      </c>
      <c r="U242" s="201"/>
      <c r="V242" s="226" t="e">
        <f>IF(C242="",NA(),IF(OR(C242="Smelter not listed",C242="Smelter not yet identified"),MATCH($B242&amp;$D242,'Smelter Look-up'!$J:$J,0),MATCH($B242&amp;$C242,'Smelter Look-up'!$J:$J,0)))</f>
        <v>#N/A</v>
      </c>
      <c r="X242" s="227">
        <f t="shared" si="33"/>
        <v>0</v>
      </c>
      <c r="AB242" s="228" t="str">
        <f t="shared" si="34"/>
        <v>TinPT Refined Bangka Tin</v>
      </c>
    </row>
    <row r="243" spans="1:28" s="227" customFormat="1" ht="51">
      <c r="A243" s="181" t="s">
        <v>777</v>
      </c>
      <c r="B243" s="182" t="s">
        <v>1099</v>
      </c>
      <c r="C243" s="186" t="s">
        <v>13714</v>
      </c>
      <c r="D243" s="230" t="s">
        <v>13714</v>
      </c>
      <c r="E243" s="182" t="s">
        <v>1074</v>
      </c>
      <c r="F243" s="182" t="s">
        <v>777</v>
      </c>
      <c r="G243" s="182" t="s">
        <v>13177</v>
      </c>
      <c r="H243" s="183" t="s">
        <v>16409</v>
      </c>
      <c r="I243" s="184" t="s">
        <v>1749</v>
      </c>
      <c r="J243" s="184" t="s">
        <v>6016</v>
      </c>
      <c r="K243" s="224" t="s">
        <v>16410</v>
      </c>
      <c r="L243" s="224" t="s">
        <v>16411</v>
      </c>
      <c r="M243" s="224" t="s">
        <v>15826</v>
      </c>
      <c r="N243" s="224" t="s">
        <v>15827</v>
      </c>
      <c r="O243" s="224" t="s">
        <v>1074</v>
      </c>
      <c r="P243" s="185" t="s">
        <v>12407</v>
      </c>
      <c r="Q243" s="225" t="s">
        <v>15829</v>
      </c>
      <c r="R243" s="182" t="str">
        <f ca="1">IF(ISERROR($V243),"",OFFSET('Smelter Look-up'!$C$4,$V243-4,0)&amp;"")</f>
        <v>PT Timah Tbk Kundur</v>
      </c>
      <c r="S243" s="181" t="str">
        <f t="shared" ca="1" si="32"/>
        <v>ID</v>
      </c>
      <c r="T243" s="181" t="str">
        <f ca="1">IF(B243="","",IF(ISERROR(MATCH($J243,SorP!$B$1:$B$6226,0)),"",INDIRECT("'SorP'!$A$"&amp;MATCH($S243&amp;$J243,SorP!C:C,0))))</f>
        <v>ID-RI</v>
      </c>
      <c r="U243" s="201"/>
      <c r="V243" s="226">
        <f>IF(C243="",NA(),IF(OR(C243="Smelter not listed",C243="Smelter not yet identified"),MATCH($B243&amp;$D243,'Smelter Look-up'!$J:$J,0),MATCH($B243&amp;$C243,'Smelter Look-up'!$J:$J,0)))</f>
        <v>509</v>
      </c>
      <c r="X243" s="227">
        <f t="shared" si="33"/>
        <v>0</v>
      </c>
      <c r="AB243" s="228" t="str">
        <f t="shared" si="34"/>
        <v>TinPT Timah Tbk Kundur</v>
      </c>
    </row>
    <row r="244" spans="1:28" s="227" customFormat="1" ht="51">
      <c r="A244" s="181" t="s">
        <v>760</v>
      </c>
      <c r="B244" s="182" t="s">
        <v>1099</v>
      </c>
      <c r="C244" s="186" t="s">
        <v>13713</v>
      </c>
      <c r="D244" s="230" t="s">
        <v>13713</v>
      </c>
      <c r="E244" s="182" t="s">
        <v>1074</v>
      </c>
      <c r="F244" s="182" t="s">
        <v>760</v>
      </c>
      <c r="G244" s="182" t="s">
        <v>13177</v>
      </c>
      <c r="H244" s="183" t="s">
        <v>16412</v>
      </c>
      <c r="I244" s="184" t="s">
        <v>1751</v>
      </c>
      <c r="J244" s="184" t="s">
        <v>12799</v>
      </c>
      <c r="K244" s="224" t="s">
        <v>16410</v>
      </c>
      <c r="L244" s="224" t="s">
        <v>16411</v>
      </c>
      <c r="M244" s="224" t="s">
        <v>15886</v>
      </c>
      <c r="N244" s="224" t="s">
        <v>16413</v>
      </c>
      <c r="O244" s="224" t="s">
        <v>16407</v>
      </c>
      <c r="P244" s="185" t="s">
        <v>476</v>
      </c>
      <c r="Q244" s="225" t="s">
        <v>15829</v>
      </c>
      <c r="R244" s="182" t="str">
        <f ca="1">IF(ISERROR($V244),"",OFFSET('Smelter Look-up'!$C$4,$V244-4,0)&amp;"")</f>
        <v>PT Timah Tbk Mentok</v>
      </c>
      <c r="S244" s="181" t="str">
        <f t="shared" ca="1" si="32"/>
        <v>ID</v>
      </c>
      <c r="T244" s="181" t="str">
        <f ca="1">IF(B244="","",IF(ISERROR(MATCH($J244,SorP!$B$1:$B$6226,0)),"",INDIRECT("'SorP'!$A$"&amp;MATCH($S244&amp;$J244,SorP!C:C,0))))</f>
        <v>ID-BB</v>
      </c>
      <c r="U244" s="201"/>
      <c r="V244" s="226">
        <f>IF(C244="",NA(),IF(OR(C244="Smelter not listed",C244="Smelter not yet identified"),MATCH($B244&amp;$D244,'Smelter Look-up'!$J:$J,0),MATCH($B244&amp;$C244,'Smelter Look-up'!$J:$J,0)))</f>
        <v>510</v>
      </c>
      <c r="X244" s="227">
        <f t="shared" si="33"/>
        <v>0</v>
      </c>
      <c r="AB244" s="228" t="str">
        <f t="shared" si="34"/>
        <v>TinPT Timah Tbk Mentok</v>
      </c>
    </row>
    <row r="245" spans="1:28" s="227" customFormat="1" ht="51">
      <c r="A245" s="181" t="s">
        <v>1368</v>
      </c>
      <c r="B245" s="182" t="s">
        <v>1099</v>
      </c>
      <c r="C245" s="186" t="s">
        <v>1367</v>
      </c>
      <c r="D245" s="230" t="s">
        <v>1367</v>
      </c>
      <c r="E245" s="182" t="s">
        <v>1074</v>
      </c>
      <c r="F245" s="182" t="s">
        <v>1368</v>
      </c>
      <c r="G245" s="182" t="s">
        <v>13177</v>
      </c>
      <c r="H245" s="183" t="s">
        <v>16414</v>
      </c>
      <c r="I245" s="184" t="s">
        <v>1726</v>
      </c>
      <c r="J245" s="184" t="s">
        <v>12799</v>
      </c>
      <c r="K245" s="224" t="s">
        <v>16415</v>
      </c>
      <c r="L245" s="224" t="s">
        <v>16416</v>
      </c>
      <c r="M245" s="224" t="s">
        <v>15826</v>
      </c>
      <c r="N245" s="224" t="s">
        <v>15827</v>
      </c>
      <c r="O245" s="224" t="s">
        <v>16390</v>
      </c>
      <c r="P245" s="185" t="s">
        <v>12407</v>
      </c>
      <c r="Q245" s="225" t="s">
        <v>15829</v>
      </c>
      <c r="R245" s="182" t="str">
        <f ca="1">IF(ISERROR($V245),"",OFFSET('Smelter Look-up'!$C$4,$V245-4,0)&amp;"")</f>
        <v>PT ATD Makmur Mandiri Jaya</v>
      </c>
      <c r="S245" s="181" t="str">
        <f t="shared" ca="1" si="32"/>
        <v>ID</v>
      </c>
      <c r="T245" s="181" t="str">
        <f ca="1">IF(B245="","",IF(ISERROR(MATCH($J245,SorP!$B$1:$B$6226,0)),"",INDIRECT("'SorP'!$A$"&amp;MATCH($S245&amp;$J245,SorP!C:C,0))))</f>
        <v>ID-BB</v>
      </c>
      <c r="U245" s="201"/>
      <c r="V245" s="226">
        <f>IF(C245="",NA(),IF(OR(C245="Smelter not listed",C245="Smelter not yet identified"),MATCH($B245&amp;$D245,'Smelter Look-up'!$J:$J,0),MATCH($B245&amp;$C245,'Smelter Look-up'!$J:$J,0)))</f>
        <v>499</v>
      </c>
      <c r="X245" s="227">
        <f t="shared" si="33"/>
        <v>0</v>
      </c>
      <c r="AB245" s="228" t="str">
        <f t="shared" si="34"/>
        <v>TinPT ATD Makmur Mandiri Jaya</v>
      </c>
    </row>
    <row r="246" spans="1:28" s="227" customFormat="1" ht="51">
      <c r="A246" s="181" t="s">
        <v>15625</v>
      </c>
      <c r="B246" s="182" t="s">
        <v>1099</v>
      </c>
      <c r="C246" s="186" t="s">
        <v>15624</v>
      </c>
      <c r="D246" s="230" t="s">
        <v>15624</v>
      </c>
      <c r="E246" s="182" t="s">
        <v>1074</v>
      </c>
      <c r="F246" s="182" t="s">
        <v>15625</v>
      </c>
      <c r="G246" s="182" t="s">
        <v>13177</v>
      </c>
      <c r="H246" s="183" t="s">
        <v>16417</v>
      </c>
      <c r="I246" s="184" t="s">
        <v>14986</v>
      </c>
      <c r="J246" s="184" t="s">
        <v>12799</v>
      </c>
      <c r="K246" s="224" t="s">
        <v>16418</v>
      </c>
      <c r="L246" s="224" t="s">
        <v>16419</v>
      </c>
      <c r="M246" s="224" t="s">
        <v>15875</v>
      </c>
      <c r="N246" s="224" t="s">
        <v>15827</v>
      </c>
      <c r="O246" s="224" t="s">
        <v>16108</v>
      </c>
      <c r="P246" s="185" t="s">
        <v>12407</v>
      </c>
      <c r="Q246" s="225" t="s">
        <v>15829</v>
      </c>
      <c r="R246" s="182" t="str">
        <f ca="1">IF(ISERROR($V246),"",OFFSET('Smelter Look-up'!$C$4,$V246-4,0)&amp;"")</f>
        <v>PT Rajehan Ariq</v>
      </c>
      <c r="S246" s="181" t="str">
        <f t="shared" ca="1" si="32"/>
        <v>ID</v>
      </c>
      <c r="T246" s="181" t="str">
        <f ca="1">IF(B246="","",IF(ISERROR(MATCH($J246,SorP!$B$1:$B$6226,0)),"",INDIRECT("'SorP'!$A$"&amp;MATCH($S246&amp;$J246,SorP!C:C,0))))</f>
        <v>ID-BB</v>
      </c>
      <c r="U246" s="201"/>
      <c r="V246" s="226">
        <f>IF(C246="",NA(),IF(OR(C246="Smelter not listed",C246="Smelter not yet identified"),MATCH($B246&amp;$D246,'Smelter Look-up'!$J:$J,0),MATCH($B246&amp;$C246,'Smelter Look-up'!$J:$J,0)))</f>
        <v>507</v>
      </c>
      <c r="X246" s="227">
        <f t="shared" si="33"/>
        <v>0</v>
      </c>
      <c r="AB246" s="228" t="str">
        <f t="shared" si="34"/>
        <v>TinPT Rajehan Ariq</v>
      </c>
    </row>
    <row r="247" spans="1:28" s="227" customFormat="1" ht="63.75">
      <c r="A247" s="181" t="s">
        <v>15307</v>
      </c>
      <c r="B247" s="182" t="s">
        <v>1099</v>
      </c>
      <c r="C247" s="186" t="s">
        <v>15306</v>
      </c>
      <c r="D247" s="230" t="s">
        <v>15306</v>
      </c>
      <c r="E247" s="182" t="s">
        <v>1074</v>
      </c>
      <c r="F247" s="182" t="s">
        <v>15307</v>
      </c>
      <c r="G247" s="182" t="s">
        <v>13177</v>
      </c>
      <c r="H247" s="183" t="s">
        <v>16420</v>
      </c>
      <c r="I247" s="184" t="s">
        <v>15308</v>
      </c>
      <c r="J247" s="184" t="s">
        <v>1748</v>
      </c>
      <c r="K247" s="224" t="s">
        <v>16421</v>
      </c>
      <c r="L247" s="224" t="s">
        <v>16422</v>
      </c>
      <c r="M247" s="224" t="s">
        <v>15826</v>
      </c>
      <c r="N247" s="224" t="s">
        <v>15827</v>
      </c>
      <c r="O247" s="224" t="s">
        <v>16423</v>
      </c>
      <c r="P247" s="185" t="s">
        <v>12407</v>
      </c>
      <c r="Q247" s="225" t="s">
        <v>15829</v>
      </c>
      <c r="R247" s="182" t="str">
        <f ca="1">IF(ISERROR($V247),"",OFFSET('Smelter Look-up'!$C$4,$V247-4,0)&amp;"")</f>
        <v>PT Cipta Persada Mulia</v>
      </c>
      <c r="S247" s="181" t="str">
        <f t="shared" ca="1" si="32"/>
        <v>ID</v>
      </c>
      <c r="T247" s="181" t="str">
        <f ca="1">IF(B247="","",IF(ISERROR(MATCH($J247,SorP!$B$1:$B$6226,0)),"",INDIRECT("'SorP'!$A$"&amp;MATCH($S247&amp;$J247,SorP!C:C,0))))</f>
        <v>ID-KR</v>
      </c>
      <c r="U247" s="201"/>
      <c r="V247" s="226">
        <f>IF(C247="",NA(),IF(OR(C247="Smelter not listed",C247="Smelter not yet identified"),MATCH($B247&amp;$D247,'Smelter Look-up'!$J:$J,0),MATCH($B247&amp;$C247,'Smelter Look-up'!$J:$J,0)))</f>
        <v>501</v>
      </c>
      <c r="X247" s="227">
        <f t="shared" si="33"/>
        <v>0</v>
      </c>
      <c r="AB247" s="228" t="str">
        <f t="shared" si="34"/>
        <v>TinPT Cipta Persada Mulia</v>
      </c>
    </row>
    <row r="248" spans="1:28" s="227" customFormat="1" ht="51">
      <c r="A248" s="181" t="s">
        <v>15350</v>
      </c>
      <c r="B248" s="182" t="s">
        <v>1099</v>
      </c>
      <c r="C248" s="186" t="s">
        <v>15349</v>
      </c>
      <c r="D248" s="230" t="s">
        <v>15349</v>
      </c>
      <c r="E248" s="182" t="s">
        <v>1074</v>
      </c>
      <c r="F248" s="182" t="s">
        <v>15350</v>
      </c>
      <c r="G248" s="182" t="s">
        <v>13177</v>
      </c>
      <c r="H248" s="183" t="s">
        <v>16424</v>
      </c>
      <c r="I248" s="184" t="s">
        <v>15353</v>
      </c>
      <c r="J248" s="184" t="s">
        <v>12799</v>
      </c>
      <c r="K248" s="224" t="s">
        <v>16425</v>
      </c>
      <c r="L248" s="224" t="s">
        <v>16426</v>
      </c>
      <c r="M248" s="224" t="s">
        <v>15826</v>
      </c>
      <c r="N248" s="224" t="s">
        <v>15943</v>
      </c>
      <c r="O248" s="224" t="s">
        <v>16390</v>
      </c>
      <c r="P248" s="185" t="s">
        <v>476</v>
      </c>
      <c r="Q248" s="225" t="s">
        <v>15829</v>
      </c>
      <c r="R248" s="182" t="str">
        <f ca="1">IF(ISERROR($V248),"",OFFSET('Smelter Look-up'!$C$4,$V248-4,0)&amp;"")</f>
        <v>PT Bangka Prima Tin</v>
      </c>
      <c r="S248" s="181" t="str">
        <f t="shared" ca="1" si="32"/>
        <v>ID</v>
      </c>
      <c r="T248" s="181" t="str">
        <f ca="1">IF(B248="","",IF(ISERROR(MATCH($J248,SorP!$B$1:$B$6226,0)),"",INDIRECT("'SorP'!$A$"&amp;MATCH($S248&amp;$J248,SorP!C:C,0))))</f>
        <v>ID-BB</v>
      </c>
      <c r="U248" s="201"/>
      <c r="V248" s="226">
        <f>IF(C248="",NA(),IF(OR(C248="Smelter not listed",C248="Smelter not yet identified"),MATCH($B248&amp;$D248,'Smelter Look-up'!$J:$J,0),MATCH($B248&amp;$C248,'Smelter Look-up'!$J:$J,0)))</f>
        <v>500</v>
      </c>
      <c r="X248" s="227">
        <f t="shared" si="33"/>
        <v>0</v>
      </c>
      <c r="AB248" s="228" t="str">
        <f t="shared" si="34"/>
        <v>TinPT Bangka Prima Tin</v>
      </c>
    </row>
    <row r="249" spans="1:28" s="227" customFormat="1" ht="51">
      <c r="A249" s="181" t="s">
        <v>13775</v>
      </c>
      <c r="B249" s="182" t="s">
        <v>1099</v>
      </c>
      <c r="C249" s="186" t="s">
        <v>13761</v>
      </c>
      <c r="D249" s="230" t="s">
        <v>13761</v>
      </c>
      <c r="E249" s="182" t="s">
        <v>1074</v>
      </c>
      <c r="F249" s="182" t="s">
        <v>13775</v>
      </c>
      <c r="G249" s="182" t="s">
        <v>13177</v>
      </c>
      <c r="H249" s="183" t="s">
        <v>16427</v>
      </c>
      <c r="I249" s="184" t="s">
        <v>14989</v>
      </c>
      <c r="J249" s="184" t="s">
        <v>12799</v>
      </c>
      <c r="K249" s="224"/>
      <c r="L249" s="224"/>
      <c r="M249" s="224" t="s">
        <v>15875</v>
      </c>
      <c r="N249" s="224" t="s">
        <v>15827</v>
      </c>
      <c r="O249" s="224" t="s">
        <v>16428</v>
      </c>
      <c r="P249" s="185" t="s">
        <v>12407</v>
      </c>
      <c r="Q249" s="225" t="s">
        <v>15829</v>
      </c>
      <c r="R249" s="182" t="str">
        <f ca="1">IF(ISERROR($V249),"",OFFSET('Smelter Look-up'!$C$4,$V249-4,0)&amp;"")</f>
        <v>PT Mitra Sukses Globalindo</v>
      </c>
      <c r="S249" s="181" t="str">
        <f t="shared" ca="1" si="32"/>
        <v>ID</v>
      </c>
      <c r="T249" s="181" t="str">
        <f ca="1">IF(B249="","",IF(ISERROR(MATCH($J249,SorP!$B$1:$B$6226,0)),"",INDIRECT("'SorP'!$A$"&amp;MATCH($S249&amp;$J249,SorP!C:C,0))))</f>
        <v>ID-BB</v>
      </c>
      <c r="U249" s="201"/>
      <c r="V249" s="226">
        <f>IF(C249="",NA(),IF(OR(C249="Smelter not listed",C249="Smelter not yet identified"),MATCH($B249&amp;$D249,'Smelter Look-up'!$J:$J,0),MATCH($B249&amp;$C249,'Smelter Look-up'!$J:$J,0)))</f>
        <v>503</v>
      </c>
      <c r="X249" s="227">
        <f t="shared" si="33"/>
        <v>0</v>
      </c>
      <c r="AB249" s="228" t="str">
        <f t="shared" si="34"/>
        <v>TinPT Mitra Sukses Globalindo</v>
      </c>
    </row>
    <row r="250" spans="1:28" s="227" customFormat="1" ht="25.5">
      <c r="A250" s="181" t="s">
        <v>15310</v>
      </c>
      <c r="B250" s="182" t="s">
        <v>1099</v>
      </c>
      <c r="C250" s="186" t="s">
        <v>15309</v>
      </c>
      <c r="D250" s="230" t="s">
        <v>15309</v>
      </c>
      <c r="E250" s="182" t="s">
        <v>1074</v>
      </c>
      <c r="F250" s="182" t="s">
        <v>15310</v>
      </c>
      <c r="G250" s="182" t="s">
        <v>13177</v>
      </c>
      <c r="H250" s="183" t="s">
        <v>16429</v>
      </c>
      <c r="I250" s="184" t="s">
        <v>1726</v>
      </c>
      <c r="J250" s="184" t="s">
        <v>12799</v>
      </c>
      <c r="K250" s="224" t="s">
        <v>16430</v>
      </c>
      <c r="L250" s="224" t="s">
        <v>16431</v>
      </c>
      <c r="M250" s="224" t="s">
        <v>15875</v>
      </c>
      <c r="N250" s="224" t="s">
        <v>15827</v>
      </c>
      <c r="O250" s="224" t="s">
        <v>1074</v>
      </c>
      <c r="P250" s="185" t="s">
        <v>12407</v>
      </c>
      <c r="Q250" s="225" t="s">
        <v>15829</v>
      </c>
      <c r="R250" s="182" t="str">
        <f ca="1">IF(ISERROR($V250),"",OFFSET('Smelter Look-up'!$C$4,$V250-4,0)&amp;"")</f>
        <v>PT Putera Sarana Shakti (PT PSS)</v>
      </c>
      <c r="S250" s="181" t="str">
        <f t="shared" ca="1" si="32"/>
        <v>ID</v>
      </c>
      <c r="T250" s="181" t="str">
        <f ca="1">IF(B250="","",IF(ISERROR(MATCH($J250,SorP!$B$1:$B$6226,0)),"",INDIRECT("'SorP'!$A$"&amp;MATCH($S250&amp;$J250,SorP!C:C,0))))</f>
        <v>ID-BB</v>
      </c>
      <c r="U250" s="201"/>
      <c r="V250" s="226">
        <f>IF(C250="",NA(),IF(OR(C250="Smelter not listed",C250="Smelter not yet identified"),MATCH($B250&amp;$D250,'Smelter Look-up'!$J:$J,0),MATCH($B250&amp;$C250,'Smelter Look-up'!$J:$J,0)))</f>
        <v>506</v>
      </c>
      <c r="X250" s="227">
        <f t="shared" si="33"/>
        <v>0</v>
      </c>
      <c r="AB250" s="228" t="str">
        <f t="shared" si="34"/>
        <v>TinPT Putera Sarana Shakti (PT PSS)</v>
      </c>
    </row>
    <row r="251" spans="1:28" s="227" customFormat="1" ht="25.5">
      <c r="A251" s="181" t="s">
        <v>15695</v>
      </c>
      <c r="B251" s="182" t="s">
        <v>1099</v>
      </c>
      <c r="C251" s="186" t="s">
        <v>15694</v>
      </c>
      <c r="D251" s="230" t="s">
        <v>15694</v>
      </c>
      <c r="E251" s="182" t="s">
        <v>1074</v>
      </c>
      <c r="F251" s="182" t="s">
        <v>15695</v>
      </c>
      <c r="G251" s="182" t="s">
        <v>13177</v>
      </c>
      <c r="H251" s="183"/>
      <c r="I251" s="184" t="s">
        <v>15700</v>
      </c>
      <c r="J251" s="184" t="s">
        <v>12799</v>
      </c>
      <c r="K251" s="224" t="s">
        <v>16432</v>
      </c>
      <c r="L251" s="224" t="s">
        <v>16433</v>
      </c>
      <c r="M251" s="224"/>
      <c r="N251" s="224" t="s">
        <v>15827</v>
      </c>
      <c r="O251" s="224" t="s">
        <v>1074</v>
      </c>
      <c r="P251" s="185" t="s">
        <v>12407</v>
      </c>
      <c r="Q251" s="225" t="s">
        <v>15829</v>
      </c>
      <c r="R251" s="182" t="str">
        <f ca="1">IF(ISERROR($V251),"",OFFSET('Smelter Look-up'!$C$4,$V251-4,0)&amp;"")</f>
        <v>PT Arsed Indonesia</v>
      </c>
      <c r="S251" s="181" t="str">
        <f t="shared" ca="1" si="32"/>
        <v>ID</v>
      </c>
      <c r="T251" s="181" t="str">
        <f ca="1">IF(B251="","",IF(ISERROR(MATCH($J251,SorP!$B$1:$B$6226,0)),"",INDIRECT("'SorP'!$A$"&amp;MATCH($S251&amp;$J251,SorP!C:C,0))))</f>
        <v>ID-BB</v>
      </c>
      <c r="U251" s="201"/>
      <c r="V251" s="226">
        <f>IF(C251="",NA(),IF(OR(C251="Smelter not listed",C251="Smelter not yet identified"),MATCH($B251&amp;$D251,'Smelter Look-up'!$J:$J,0),MATCH($B251&amp;$C251,'Smelter Look-up'!$J:$J,0)))</f>
        <v>498</v>
      </c>
      <c r="X251" s="227">
        <f t="shared" si="33"/>
        <v>0</v>
      </c>
      <c r="AB251" s="228" t="str">
        <f t="shared" si="34"/>
        <v>TinPT Arsed Indonesia</v>
      </c>
    </row>
    <row r="252" spans="1:28" s="227" customFormat="1" ht="114.75">
      <c r="A252" s="181" t="s">
        <v>16434</v>
      </c>
      <c r="B252" s="182" t="s">
        <v>1099</v>
      </c>
      <c r="C252" s="186" t="s">
        <v>16435</v>
      </c>
      <c r="D252" s="230" t="s">
        <v>16435</v>
      </c>
      <c r="E252" s="182" t="s">
        <v>1074</v>
      </c>
      <c r="F252" s="182" t="s">
        <v>16434</v>
      </c>
      <c r="G252" s="182" t="s">
        <v>13177</v>
      </c>
      <c r="H252" s="183" t="s">
        <v>16436</v>
      </c>
      <c r="I252" s="184" t="s">
        <v>16437</v>
      </c>
      <c r="J252" s="184" t="s">
        <v>12799</v>
      </c>
      <c r="K252" s="224" t="s">
        <v>16438</v>
      </c>
      <c r="L252" s="224" t="s">
        <v>16439</v>
      </c>
      <c r="M252" s="224" t="s">
        <v>15886</v>
      </c>
      <c r="N252" s="224"/>
      <c r="O252" s="224" t="s">
        <v>16440</v>
      </c>
      <c r="P252" s="185" t="s">
        <v>476</v>
      </c>
      <c r="Q252" s="225"/>
      <c r="R252" s="182" t="str">
        <f ca="1">IF(ISERROR($V252),"",OFFSET('Smelter Look-up'!$C$4,$V252-4,0)&amp;"")</f>
        <v/>
      </c>
      <c r="S252" s="181" t="str">
        <f t="shared" ca="1" si="32"/>
        <v>ID</v>
      </c>
      <c r="T252" s="181" t="str">
        <f ca="1">IF(B252="","",IF(ISERROR(MATCH($J252,SorP!$B$1:$B$6226,0)),"",INDIRECT("'SorP'!$A$"&amp;MATCH($S252&amp;$J252,SorP!C:C,0))))</f>
        <v>ID-BB</v>
      </c>
      <c r="U252" s="201"/>
      <c r="V252" s="226" t="e">
        <f>IF(C252="",NA(),IF(OR(C252="Smelter not listed",C252="Smelter not yet identified"),MATCH($B252&amp;$D252,'Smelter Look-up'!$J:$J,0),MATCH($B252&amp;$C252,'Smelter Look-up'!$J:$J,0)))</f>
        <v>#N/A</v>
      </c>
      <c r="X252" s="227">
        <f t="shared" si="33"/>
        <v>0</v>
      </c>
      <c r="AB252" s="228" t="str">
        <f t="shared" si="34"/>
        <v>TinPT Aries Kencana Sejahtera</v>
      </c>
    </row>
    <row r="253" spans="1:28" s="227" customFormat="1" ht="20.25">
      <c r="A253" s="181" t="s">
        <v>16441</v>
      </c>
      <c r="B253" s="182" t="s">
        <v>1099</v>
      </c>
      <c r="C253" s="186" t="s">
        <v>16442</v>
      </c>
      <c r="D253" s="230" t="s">
        <v>16442</v>
      </c>
      <c r="E253" s="182" t="s">
        <v>1074</v>
      </c>
      <c r="F253" s="182" t="s">
        <v>16441</v>
      </c>
      <c r="G253" s="182" t="s">
        <v>13177</v>
      </c>
      <c r="H253" s="183"/>
      <c r="I253" s="184" t="s">
        <v>15840</v>
      </c>
      <c r="J253" s="184" t="s">
        <v>15840</v>
      </c>
      <c r="K253" s="224"/>
      <c r="L253" s="224"/>
      <c r="M253" s="224"/>
      <c r="N253" s="224"/>
      <c r="O253" s="224"/>
      <c r="P253" s="185"/>
      <c r="Q253" s="225"/>
      <c r="R253" s="182" t="str">
        <f ca="1">IF(ISERROR($V253),"",OFFSET('Smelter Look-up'!$C$4,$V253-4,0)&amp;"")</f>
        <v/>
      </c>
      <c r="S253" s="181" t="str">
        <f t="shared" ca="1" si="32"/>
        <v>ID</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si="33"/>
        <v>0</v>
      </c>
      <c r="AB253" s="228" t="str">
        <f t="shared" si="34"/>
        <v>TinCV United Smelting</v>
      </c>
    </row>
    <row r="254" spans="1:28" s="227" customFormat="1" ht="114.75">
      <c r="A254" s="181" t="s">
        <v>16443</v>
      </c>
      <c r="B254" s="182" t="s">
        <v>1099</v>
      </c>
      <c r="C254" s="186" t="s">
        <v>16444</v>
      </c>
      <c r="D254" s="230" t="s">
        <v>16444</v>
      </c>
      <c r="E254" s="182" t="s">
        <v>1074</v>
      </c>
      <c r="F254" s="182" t="s">
        <v>16443</v>
      </c>
      <c r="G254" s="182" t="s">
        <v>13177</v>
      </c>
      <c r="H254" s="183" t="s">
        <v>16445</v>
      </c>
      <c r="I254" s="184" t="s">
        <v>1726</v>
      </c>
      <c r="J254" s="184" t="s">
        <v>12799</v>
      </c>
      <c r="K254" s="224" t="s">
        <v>16446</v>
      </c>
      <c r="L254" s="224" t="s">
        <v>16447</v>
      </c>
      <c r="M254" s="224" t="s">
        <v>15886</v>
      </c>
      <c r="N254" s="224" t="s">
        <v>16448</v>
      </c>
      <c r="O254" s="224" t="s">
        <v>16449</v>
      </c>
      <c r="P254" s="185" t="s">
        <v>476</v>
      </c>
      <c r="Q254" s="225"/>
      <c r="R254" s="182" t="str">
        <f ca="1">IF(ISERROR($V254),"",OFFSET('Smelter Look-up'!$C$4,$V254-4,0)&amp;"")</f>
        <v/>
      </c>
      <c r="S254" s="181" t="str">
        <f t="shared" ca="1" si="32"/>
        <v>ID</v>
      </c>
      <c r="T254" s="181" t="str">
        <f ca="1">IF(B254="","",IF(ISERROR(MATCH($J254,SorP!$B$1:$B$6226,0)),"",INDIRECT("'SorP'!$A$"&amp;MATCH($S254&amp;$J254,SorP!C:C,0))))</f>
        <v>ID-BB</v>
      </c>
      <c r="U254" s="201"/>
      <c r="V254" s="226" t="e">
        <f>IF(C254="",NA(),IF(OR(C254="Smelter not listed",C254="Smelter not yet identified"),MATCH($B254&amp;$D254,'Smelter Look-up'!$J:$J,0),MATCH($B254&amp;$C254,'Smelter Look-up'!$J:$J,0)))</f>
        <v>#N/A</v>
      </c>
      <c r="X254" s="227">
        <f t="shared" si="33"/>
        <v>0</v>
      </c>
      <c r="AB254" s="228" t="str">
        <f t="shared" si="34"/>
        <v>TinPT Artha Cipta Langgeng</v>
      </c>
    </row>
    <row r="255" spans="1:28" s="227" customFormat="1" ht="114.75">
      <c r="A255" s="181" t="s">
        <v>16450</v>
      </c>
      <c r="B255" s="182" t="s">
        <v>1099</v>
      </c>
      <c r="C255" s="186" t="s">
        <v>16451</v>
      </c>
      <c r="D255" s="230" t="s">
        <v>16451</v>
      </c>
      <c r="E255" s="182" t="s">
        <v>1074</v>
      </c>
      <c r="F255" s="182" t="s">
        <v>16450</v>
      </c>
      <c r="G255" s="182" t="s">
        <v>13177</v>
      </c>
      <c r="H255" s="183" t="s">
        <v>16452</v>
      </c>
      <c r="I255" s="184" t="s">
        <v>16453</v>
      </c>
      <c r="J255" s="184" t="s">
        <v>12799</v>
      </c>
      <c r="K255" s="224" t="s">
        <v>16454</v>
      </c>
      <c r="L255" s="224" t="s">
        <v>16455</v>
      </c>
      <c r="M255" s="224" t="s">
        <v>15886</v>
      </c>
      <c r="N255" s="224" t="s">
        <v>12799</v>
      </c>
      <c r="O255" s="224" t="s">
        <v>16440</v>
      </c>
      <c r="P255" s="185" t="s">
        <v>476</v>
      </c>
      <c r="Q255" s="225"/>
      <c r="R255" s="182" t="str">
        <f ca="1">IF(ISERROR($V255),"",OFFSET('Smelter Look-up'!$C$4,$V255-4,0)&amp;"")</f>
        <v/>
      </c>
      <c r="S255" s="181" t="str">
        <f t="shared" ca="1" si="32"/>
        <v>ID</v>
      </c>
      <c r="T255" s="181" t="str">
        <f ca="1">IF(B255="","",IF(ISERROR(MATCH($J255,SorP!$B$1:$B$6226,0)),"",INDIRECT("'SorP'!$A$"&amp;MATCH($S255&amp;$J255,SorP!C:C,0))))</f>
        <v>ID-BB</v>
      </c>
      <c r="U255" s="201"/>
      <c r="V255" s="226" t="e">
        <f>IF(C255="",NA(),IF(OR(C255="Smelter not listed",C255="Smelter not yet identified"),MATCH($B255&amp;$D255,'Smelter Look-up'!$J:$J,0),MATCH($B255&amp;$C255,'Smelter Look-up'!$J:$J,0)))</f>
        <v>#N/A</v>
      </c>
      <c r="X255" s="227">
        <f t="shared" si="33"/>
        <v>0</v>
      </c>
      <c r="AB255" s="228" t="str">
        <f t="shared" si="34"/>
        <v>TinPT Babel Inti Perkasa</v>
      </c>
    </row>
    <row r="256" spans="1:28" s="227" customFormat="1" ht="102">
      <c r="A256" s="181" t="s">
        <v>16456</v>
      </c>
      <c r="B256" s="182" t="s">
        <v>1099</v>
      </c>
      <c r="C256" s="186" t="s">
        <v>16457</v>
      </c>
      <c r="D256" s="230" t="s">
        <v>16457</v>
      </c>
      <c r="E256" s="182" t="s">
        <v>1074</v>
      </c>
      <c r="F256" s="182" t="s">
        <v>16456</v>
      </c>
      <c r="G256" s="182" t="s">
        <v>13177</v>
      </c>
      <c r="H256" s="183" t="s">
        <v>16458</v>
      </c>
      <c r="I256" s="184" t="s">
        <v>16459</v>
      </c>
      <c r="J256" s="184" t="s">
        <v>12799</v>
      </c>
      <c r="K256" s="224" t="s">
        <v>16460</v>
      </c>
      <c r="L256" s="224" t="s">
        <v>16461</v>
      </c>
      <c r="M256" s="224" t="s">
        <v>15886</v>
      </c>
      <c r="N256" s="224" t="s">
        <v>16462</v>
      </c>
      <c r="O256" s="224" t="s">
        <v>16463</v>
      </c>
      <c r="P256" s="185" t="s">
        <v>476</v>
      </c>
      <c r="Q256" s="225"/>
      <c r="R256" s="182" t="str">
        <f ca="1">IF(ISERROR($V256),"",OFFSET('Smelter Look-up'!$C$4,$V256-4,0)&amp;"")</f>
        <v/>
      </c>
      <c r="S256" s="181" t="str">
        <f t="shared" ca="1" si="32"/>
        <v>ID</v>
      </c>
      <c r="T256" s="181" t="str">
        <f ca="1">IF(B256="","",IF(ISERROR(MATCH($J256,SorP!$B$1:$B$6226,0)),"",INDIRECT("'SorP'!$A$"&amp;MATCH($S256&amp;$J256,SorP!C:C,0))))</f>
        <v>ID-BB</v>
      </c>
      <c r="U256" s="201"/>
      <c r="V256" s="226" t="e">
        <f>IF(C256="",NA(),IF(OR(C256="Smelter not listed",C256="Smelter not yet identified"),MATCH($B256&amp;$D256,'Smelter Look-up'!$J:$J,0),MATCH($B256&amp;$C256,'Smelter Look-up'!$J:$J,0)))</f>
        <v>#N/A</v>
      </c>
      <c r="X256" s="227">
        <f t="shared" si="33"/>
        <v>0</v>
      </c>
      <c r="AB256" s="228" t="str">
        <f t="shared" si="34"/>
        <v>TinPT Babel Surya Alam Lestari</v>
      </c>
    </row>
    <row r="257" spans="1:28" s="227" customFormat="1" ht="25.5">
      <c r="A257" s="181" t="s">
        <v>16464</v>
      </c>
      <c r="B257" s="182" t="s">
        <v>1099</v>
      </c>
      <c r="C257" s="186" t="s">
        <v>16465</v>
      </c>
      <c r="D257" s="230" t="s">
        <v>16465</v>
      </c>
      <c r="E257" s="182" t="s">
        <v>1074</v>
      </c>
      <c r="F257" s="182" t="s">
        <v>16464</v>
      </c>
      <c r="G257" s="182" t="s">
        <v>13177</v>
      </c>
      <c r="H257" s="183" t="s">
        <v>15840</v>
      </c>
      <c r="I257" s="184" t="s">
        <v>16466</v>
      </c>
      <c r="J257" s="184" t="s">
        <v>12799</v>
      </c>
      <c r="K257" s="224"/>
      <c r="L257" s="224"/>
      <c r="M257" s="224"/>
      <c r="N257" s="224"/>
      <c r="O257" s="224"/>
      <c r="P257" s="185"/>
      <c r="Q257" s="225"/>
      <c r="R257" s="182" t="str">
        <f ca="1">IF(ISERROR($V257),"",OFFSET('Smelter Look-up'!$C$4,$V257-4,0)&amp;"")</f>
        <v/>
      </c>
      <c r="S257" s="181" t="str">
        <f t="shared" ca="1" si="32"/>
        <v>ID</v>
      </c>
      <c r="T257" s="181" t="str">
        <f ca="1">IF(B257="","",IF(ISERROR(MATCH($J257,SorP!$B$1:$B$6226,0)),"",INDIRECT("'SorP'!$A$"&amp;MATCH($S257&amp;$J257,SorP!C:C,0))))</f>
        <v>ID-BB</v>
      </c>
      <c r="U257" s="201"/>
      <c r="V257" s="226" t="e">
        <f>IF(C257="",NA(),IF(OR(C257="Smelter not listed",C257="Smelter not yet identified"),MATCH($B257&amp;$D257,'Smelter Look-up'!$J:$J,0),MATCH($B257&amp;$C257,'Smelter Look-up'!$J:$J,0)))</f>
        <v>#N/A</v>
      </c>
      <c r="X257" s="227">
        <f t="shared" si="33"/>
        <v>0</v>
      </c>
      <c r="AB257" s="228" t="str">
        <f t="shared" si="34"/>
        <v>TinPT Bangka Tin Industry</v>
      </c>
    </row>
    <row r="258" spans="1:28" s="227" customFormat="1" ht="89.25">
      <c r="A258" s="181" t="s">
        <v>16467</v>
      </c>
      <c r="B258" s="182" t="s">
        <v>1099</v>
      </c>
      <c r="C258" s="186" t="s">
        <v>16468</v>
      </c>
      <c r="D258" s="230" t="s">
        <v>16468</v>
      </c>
      <c r="E258" s="182" t="s">
        <v>1074</v>
      </c>
      <c r="F258" s="182" t="s">
        <v>16467</v>
      </c>
      <c r="G258" s="182" t="s">
        <v>13177</v>
      </c>
      <c r="H258" s="183" t="s">
        <v>16469</v>
      </c>
      <c r="I258" s="184" t="s">
        <v>16470</v>
      </c>
      <c r="J258" s="184" t="s">
        <v>12799</v>
      </c>
      <c r="K258" s="224" t="s">
        <v>16471</v>
      </c>
      <c r="L258" s="224" t="s">
        <v>16472</v>
      </c>
      <c r="M258" s="224"/>
      <c r="N258" s="224"/>
      <c r="O258" s="224" t="s">
        <v>16473</v>
      </c>
      <c r="P258" s="185"/>
      <c r="Q258" s="225"/>
      <c r="R258" s="182" t="str">
        <f ca="1">IF(ISERROR($V258),"",OFFSET('Smelter Look-up'!$C$4,$V258-4,0)&amp;"")</f>
        <v/>
      </c>
      <c r="S258" s="181" t="str">
        <f t="shared" ca="1" si="32"/>
        <v>ID</v>
      </c>
      <c r="T258" s="181" t="str">
        <f ca="1">IF(B258="","",IF(ISERROR(MATCH($J258,SorP!$B$1:$B$6226,0)),"",INDIRECT("'SorP'!$A$"&amp;MATCH($S258&amp;$J258,SorP!C:C,0))))</f>
        <v>ID-BB</v>
      </c>
      <c r="U258" s="201"/>
      <c r="V258" s="226" t="e">
        <f>IF(C258="",NA(),IF(OR(C258="Smelter not listed",C258="Smelter not yet identified"),MATCH($B258&amp;$D258,'Smelter Look-up'!$J:$J,0),MATCH($B258&amp;$C258,'Smelter Look-up'!$J:$J,0)))</f>
        <v>#N/A</v>
      </c>
      <c r="X258" s="227">
        <f t="shared" si="33"/>
        <v>0</v>
      </c>
      <c r="AB258" s="228" t="str">
        <f t="shared" si="34"/>
        <v>TinPT Belitung Industri Sejahtera</v>
      </c>
    </row>
    <row r="259" spans="1:28" s="227" customFormat="1" ht="114.75">
      <c r="A259" s="181" t="s">
        <v>16474</v>
      </c>
      <c r="B259" s="182" t="s">
        <v>1099</v>
      </c>
      <c r="C259" s="186" t="s">
        <v>16475</v>
      </c>
      <c r="D259" s="230" t="s">
        <v>16475</v>
      </c>
      <c r="E259" s="182" t="s">
        <v>1074</v>
      </c>
      <c r="F259" s="182" t="s">
        <v>16474</v>
      </c>
      <c r="G259" s="182" t="s">
        <v>13177</v>
      </c>
      <c r="H259" s="183" t="s">
        <v>16476</v>
      </c>
      <c r="I259" s="184" t="s">
        <v>14986</v>
      </c>
      <c r="J259" s="184" t="s">
        <v>12799</v>
      </c>
      <c r="K259" s="224" t="s">
        <v>16477</v>
      </c>
      <c r="L259" s="224" t="s">
        <v>16478</v>
      </c>
      <c r="M259" s="224" t="s">
        <v>15886</v>
      </c>
      <c r="N259" s="224" t="s">
        <v>12799</v>
      </c>
      <c r="O259" s="224" t="s">
        <v>16479</v>
      </c>
      <c r="P259" s="185" t="s">
        <v>476</v>
      </c>
      <c r="Q259" s="225"/>
      <c r="R259" s="182" t="str">
        <f ca="1">IF(ISERROR($V259),"",OFFSET('Smelter Look-up'!$C$4,$V259-4,0)&amp;"")</f>
        <v/>
      </c>
      <c r="S259" s="181" t="str">
        <f t="shared" ca="1" si="32"/>
        <v>ID</v>
      </c>
      <c r="T259" s="181" t="str">
        <f ca="1">IF(B259="","",IF(ISERROR(MATCH($J259,SorP!$B$1:$B$6226,0)),"",INDIRECT("'SorP'!$A$"&amp;MATCH($S259&amp;$J259,SorP!C:C,0))))</f>
        <v>ID-BB</v>
      </c>
      <c r="U259" s="201"/>
      <c r="V259" s="226" t="e">
        <f>IF(C259="",NA(),IF(OR(C259="Smelter not listed",C259="Smelter not yet identified"),MATCH($B259&amp;$D259,'Smelter Look-up'!$J:$J,0),MATCH($B259&amp;$C259,'Smelter Look-up'!$J:$J,0)))</f>
        <v>#N/A</v>
      </c>
      <c r="X259" s="227">
        <f t="shared" si="33"/>
        <v>0</v>
      </c>
      <c r="AB259" s="228" t="str">
        <f t="shared" si="34"/>
        <v>TinPT Bukit Timah</v>
      </c>
    </row>
    <row r="260" spans="1:28" s="227" customFormat="1" ht="89.25">
      <c r="A260" s="181" t="s">
        <v>16480</v>
      </c>
      <c r="B260" s="182" t="s">
        <v>1099</v>
      </c>
      <c r="C260" s="186" t="s">
        <v>16481</v>
      </c>
      <c r="D260" s="230" t="s">
        <v>16481</v>
      </c>
      <c r="E260" s="182" t="s">
        <v>1074</v>
      </c>
      <c r="F260" s="182" t="s">
        <v>16480</v>
      </c>
      <c r="G260" s="182" t="s">
        <v>13177</v>
      </c>
      <c r="H260" s="183" t="s">
        <v>15840</v>
      </c>
      <c r="I260" s="184" t="s">
        <v>1726</v>
      </c>
      <c r="J260" s="184" t="s">
        <v>12799</v>
      </c>
      <c r="K260" s="224"/>
      <c r="L260" s="224"/>
      <c r="M260" s="224"/>
      <c r="N260" s="224"/>
      <c r="O260" s="224" t="s">
        <v>16473</v>
      </c>
      <c r="P260" s="185"/>
      <c r="Q260" s="225"/>
      <c r="R260" s="182" t="str">
        <f ca="1">IF(ISERROR($V260),"",OFFSET('Smelter Look-up'!$C$4,$V260-4,0)&amp;"")</f>
        <v/>
      </c>
      <c r="S260" s="181" t="str">
        <f t="shared" ca="1" si="32"/>
        <v>ID</v>
      </c>
      <c r="T260" s="181" t="str">
        <f ca="1">IF(B260="","",IF(ISERROR(MATCH($J260,SorP!$B$1:$B$6226,0)),"",INDIRECT("'SorP'!$A$"&amp;MATCH($S260&amp;$J260,SorP!C:C,0))))</f>
        <v>ID-BB</v>
      </c>
      <c r="U260" s="201"/>
      <c r="V260" s="226" t="e">
        <f>IF(C260="",NA(),IF(OR(C260="Smelter not listed",C260="Smelter not yet identified"),MATCH($B260&amp;$D260,'Smelter Look-up'!$J:$J,0),MATCH($B260&amp;$C260,'Smelter Look-up'!$J:$J,0)))</f>
        <v>#N/A</v>
      </c>
      <c r="X260" s="227">
        <f t="shared" si="33"/>
        <v>0</v>
      </c>
      <c r="AB260" s="228" t="str">
        <f t="shared" si="34"/>
        <v>TinPT Panca Mega Persada</v>
      </c>
    </row>
    <row r="261" spans="1:28" s="227" customFormat="1" ht="102">
      <c r="A261" s="181" t="s">
        <v>16482</v>
      </c>
      <c r="B261" s="182" t="s">
        <v>1099</v>
      </c>
      <c r="C261" s="186" t="s">
        <v>16483</v>
      </c>
      <c r="D261" s="230" t="s">
        <v>16483</v>
      </c>
      <c r="E261" s="182" t="s">
        <v>1074</v>
      </c>
      <c r="F261" s="182" t="s">
        <v>16482</v>
      </c>
      <c r="G261" s="182" t="s">
        <v>13177</v>
      </c>
      <c r="H261" s="183" t="s">
        <v>16484</v>
      </c>
      <c r="I261" s="184" t="s">
        <v>14986</v>
      </c>
      <c r="J261" s="184" t="s">
        <v>12799</v>
      </c>
      <c r="K261" s="224" t="s">
        <v>16485</v>
      </c>
      <c r="L261" s="224" t="s">
        <v>16486</v>
      </c>
      <c r="M261" s="224" t="s">
        <v>15886</v>
      </c>
      <c r="N261" s="224" t="s">
        <v>16487</v>
      </c>
      <c r="O261" s="224" t="s">
        <v>16488</v>
      </c>
      <c r="P261" s="185" t="s">
        <v>476</v>
      </c>
      <c r="Q261" s="225"/>
      <c r="R261" s="182" t="str">
        <f ca="1">IF(ISERROR($V261),"",OFFSET('Smelter Look-up'!$C$4,$V261-4,0)&amp;"")</f>
        <v/>
      </c>
      <c r="S261" s="181" t="str">
        <f t="shared" ref="S261" ca="1" si="35">IF(B261="","",IF(ISERROR(MATCH($E261,CL,0)),"Unknown",INDIRECT("'C'!$A$"&amp;MATCH($E261,CL,0)+1)))</f>
        <v>ID</v>
      </c>
      <c r="T261" s="181" t="str">
        <f ca="1">IF(B261="","",IF(ISERROR(MATCH($J261,SorP!$B$1:$B$6226,0)),"",INDIRECT("'SorP'!$A$"&amp;MATCH($S261&amp;$J261,SorP!C:C,0))))</f>
        <v>ID-BB</v>
      </c>
      <c r="U261" s="201"/>
      <c r="V261" s="226" t="e">
        <f>IF(C261="",NA(),IF(OR(C261="Smelter not listed",C261="Smelter not yet identified"),MATCH($B261&amp;$D261,'Smelter Look-up'!$J:$J,0),MATCH($B261&amp;$C261,'Smelter Look-up'!$J:$J,0)))</f>
        <v>#N/A</v>
      </c>
      <c r="X261" s="227">
        <f t="shared" ref="X261" si="36">IF(AND(C261="Smelter not listed",OR(LEN(D261)=0,LEN(E261)=0)),1,0)</f>
        <v>0</v>
      </c>
      <c r="AB261" s="228" t="str">
        <f t="shared" ref="AB261" si="37">B261&amp;C261</f>
        <v>TinPT Sariwiguna Binasentosa</v>
      </c>
    </row>
    <row r="262" spans="1:28" s="227" customFormat="1" ht="127.5">
      <c r="A262" s="181" t="s">
        <v>16489</v>
      </c>
      <c r="B262" s="182" t="s">
        <v>1099</v>
      </c>
      <c r="C262" s="186" t="s">
        <v>16490</v>
      </c>
      <c r="D262" s="230" t="s">
        <v>16490</v>
      </c>
      <c r="E262" s="182" t="s">
        <v>1074</v>
      </c>
      <c r="F262" s="182" t="s">
        <v>16489</v>
      </c>
      <c r="G262" s="182" t="s">
        <v>13177</v>
      </c>
      <c r="H262" s="183" t="s">
        <v>16491</v>
      </c>
      <c r="I262" s="184" t="s">
        <v>14986</v>
      </c>
      <c r="J262" s="184" t="s">
        <v>12799</v>
      </c>
      <c r="K262" s="224" t="s">
        <v>16438</v>
      </c>
      <c r="L262" s="224" t="s">
        <v>16439</v>
      </c>
      <c r="M262" s="224"/>
      <c r="N262" s="224" t="s">
        <v>16492</v>
      </c>
      <c r="O262" s="224" t="s">
        <v>16493</v>
      </c>
      <c r="P262" s="185" t="s">
        <v>476</v>
      </c>
      <c r="Q262" s="225"/>
      <c r="R262" s="182" t="str">
        <f ca="1">IF(ISERROR($V262),"",OFFSET('Smelter Look-up'!$C$4,$V262-4,0)&amp;"")</f>
        <v/>
      </c>
      <c r="S262" s="181" t="str">
        <f t="shared" ref="S262:S293" ca="1" si="38">IF(B262="","",IF(ISERROR(MATCH($E262,CL,0)),"Unknown",INDIRECT("'C'!$A$"&amp;MATCH($E262,CL,0)+1)))</f>
        <v>ID</v>
      </c>
      <c r="T262" s="181" t="str">
        <f ca="1">IF(B262="","",IF(ISERROR(MATCH($J262,SorP!$B$1:$B$6226,0)),"",INDIRECT("'SorP'!$A$"&amp;MATCH($S262&amp;$J262,SorP!C:C,0))))</f>
        <v>ID-BB</v>
      </c>
      <c r="U262" s="201"/>
      <c r="V262" s="226" t="e">
        <f>IF(C262="",NA(),IF(OR(C262="Smelter not listed",C262="Smelter not yet identified"),MATCH($B262&amp;$D262,'Smelter Look-up'!$J:$J,0),MATCH($B262&amp;$C262,'Smelter Look-up'!$J:$J,0)))</f>
        <v>#N/A</v>
      </c>
      <c r="X262" s="227">
        <f t="shared" ref="X262:X293" si="39">IF(AND(C262="Smelter not listed",OR(LEN(D262)=0,LEN(E262)=0)),1,0)</f>
        <v>0</v>
      </c>
      <c r="AB262" s="228" t="str">
        <f t="shared" ref="AB262:AB293" si="40">B262&amp;C262</f>
        <v>TinPT Stanindo Inti Perkasa</v>
      </c>
    </row>
    <row r="263" spans="1:28" s="227" customFormat="1" ht="20.25">
      <c r="A263" s="181" t="s">
        <v>16494</v>
      </c>
      <c r="B263" s="182" t="s">
        <v>1101</v>
      </c>
      <c r="C263" s="186" t="s">
        <v>1805</v>
      </c>
      <c r="D263" s="230" t="s">
        <v>16490</v>
      </c>
      <c r="E263" s="182" t="s">
        <v>1074</v>
      </c>
      <c r="F263" s="182" t="s">
        <v>16494</v>
      </c>
      <c r="G263" s="182" t="s">
        <v>13177</v>
      </c>
      <c r="H263" s="183" t="s">
        <v>15840</v>
      </c>
      <c r="I263" s="184" t="s">
        <v>15840</v>
      </c>
      <c r="J263" s="184" t="s">
        <v>15840</v>
      </c>
      <c r="K263" s="224"/>
      <c r="L263" s="224"/>
      <c r="M263" s="224"/>
      <c r="N263" s="224"/>
      <c r="O263" s="224"/>
      <c r="P263" s="185"/>
      <c r="Q263" s="225"/>
      <c r="R263" s="182" t="str">
        <f ca="1">IF(ISERROR($V263),"",OFFSET('Smelter Look-up'!$C$4,$V263-4,0)&amp;"")</f>
        <v/>
      </c>
      <c r="S263" s="181" t="str">
        <f t="shared" ca="1" si="38"/>
        <v>ID</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si="39"/>
        <v>0</v>
      </c>
      <c r="AB263" s="228" t="str">
        <f t="shared" si="40"/>
        <v>TungstenSmelter not listed</v>
      </c>
    </row>
    <row r="264" spans="1:28" s="227" customFormat="1" ht="20.25">
      <c r="A264" s="181" t="s">
        <v>16495</v>
      </c>
      <c r="B264" s="182" t="s">
        <v>1101</v>
      </c>
      <c r="C264" s="186" t="s">
        <v>16496</v>
      </c>
      <c r="D264" s="230" t="s">
        <v>16496</v>
      </c>
      <c r="E264" s="182" t="s">
        <v>1074</v>
      </c>
      <c r="F264" s="182" t="s">
        <v>16495</v>
      </c>
      <c r="G264" s="182" t="s">
        <v>13177</v>
      </c>
      <c r="H264" s="183" t="s">
        <v>15840</v>
      </c>
      <c r="I264" s="184" t="s">
        <v>15840</v>
      </c>
      <c r="J264" s="184" t="s">
        <v>15840</v>
      </c>
      <c r="K264" s="224"/>
      <c r="L264" s="224"/>
      <c r="M264" s="224"/>
      <c r="N264" s="224"/>
      <c r="O264" s="224"/>
      <c r="P264" s="185"/>
      <c r="Q264" s="225"/>
      <c r="R264" s="182" t="str">
        <f ca="1">IF(ISERROR($V264),"",OFFSET('Smelter Look-up'!$C$4,$V264-4,0)&amp;"")</f>
        <v/>
      </c>
      <c r="S264" s="181" t="str">
        <f t="shared" ca="1" si="38"/>
        <v>ID</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si="39"/>
        <v>0</v>
      </c>
      <c r="AB264" s="228" t="str">
        <f t="shared" si="40"/>
        <v>TungstenPT Timah (Persero), Tbk</v>
      </c>
    </row>
    <row r="265" spans="1:28" s="227" customFormat="1" ht="140.25">
      <c r="A265" s="181" t="s">
        <v>16497</v>
      </c>
      <c r="B265" s="182" t="s">
        <v>1099</v>
      </c>
      <c r="C265" s="186" t="s">
        <v>16498</v>
      </c>
      <c r="D265" s="230" t="s">
        <v>16498</v>
      </c>
      <c r="E265" s="182" t="s">
        <v>1074</v>
      </c>
      <c r="F265" s="182" t="s">
        <v>16497</v>
      </c>
      <c r="G265" s="182" t="s">
        <v>13177</v>
      </c>
      <c r="H265" s="183" t="s">
        <v>15840</v>
      </c>
      <c r="I265" s="184" t="s">
        <v>16499</v>
      </c>
      <c r="J265" s="184" t="s">
        <v>12799</v>
      </c>
      <c r="K265" s="224"/>
      <c r="L265" s="224"/>
      <c r="M265" s="224"/>
      <c r="N265" s="224"/>
      <c r="O265" s="224" t="s">
        <v>16500</v>
      </c>
      <c r="P265" s="185"/>
      <c r="Q265" s="225"/>
      <c r="R265" s="182" t="str">
        <f ca="1">IF(ISERROR($V265),"",OFFSET('Smelter Look-up'!$C$4,$V265-4,0)&amp;"")</f>
        <v/>
      </c>
      <c r="S265" s="181" t="str">
        <f t="shared" ca="1" si="38"/>
        <v>ID</v>
      </c>
      <c r="T265" s="181" t="str">
        <f ca="1">IF(B265="","",IF(ISERROR(MATCH($J265,SorP!$B$1:$B$6226,0)),"",INDIRECT("'SorP'!$A$"&amp;MATCH($S265&amp;$J265,SorP!C:C,0))))</f>
        <v>ID-BB</v>
      </c>
      <c r="U265" s="201"/>
      <c r="V265" s="226" t="e">
        <f>IF(C265="",NA(),IF(OR(C265="Smelter not listed",C265="Smelter not yet identified"),MATCH($B265&amp;$D265,'Smelter Look-up'!$J:$J,0),MATCH($B265&amp;$C265,'Smelter Look-up'!$J:$J,0)))</f>
        <v>#N/A</v>
      </c>
      <c r="X265" s="227">
        <f t="shared" si="39"/>
        <v>0</v>
      </c>
      <c r="AB265" s="228" t="str">
        <f t="shared" si="40"/>
        <v>TinPT Timah Nusantara</v>
      </c>
    </row>
    <row r="266" spans="1:28" s="227" customFormat="1" ht="114.75">
      <c r="A266" s="181" t="s">
        <v>16501</v>
      </c>
      <c r="B266" s="182" t="s">
        <v>1099</v>
      </c>
      <c r="C266" s="186" t="s">
        <v>16502</v>
      </c>
      <c r="D266" s="230" t="s">
        <v>16502</v>
      </c>
      <c r="E266" s="182" t="s">
        <v>1074</v>
      </c>
      <c r="F266" s="182" t="s">
        <v>16501</v>
      </c>
      <c r="G266" s="182" t="s">
        <v>13177</v>
      </c>
      <c r="H266" s="183" t="s">
        <v>16503</v>
      </c>
      <c r="I266" s="184" t="s">
        <v>14986</v>
      </c>
      <c r="J266" s="184" t="s">
        <v>12799</v>
      </c>
      <c r="K266" s="224" t="s">
        <v>16504</v>
      </c>
      <c r="L266" s="224" t="s">
        <v>16505</v>
      </c>
      <c r="M266" s="224" t="s">
        <v>15886</v>
      </c>
      <c r="N266" s="224" t="s">
        <v>16502</v>
      </c>
      <c r="O266" s="224" t="s">
        <v>16506</v>
      </c>
      <c r="P266" s="185" t="s">
        <v>476</v>
      </c>
      <c r="Q266" s="225"/>
      <c r="R266" s="182" t="str">
        <f ca="1">IF(ISERROR($V266),"",OFFSET('Smelter Look-up'!$C$4,$V266-4,0)&amp;"")</f>
        <v/>
      </c>
      <c r="S266" s="181" t="str">
        <f t="shared" ca="1" si="38"/>
        <v>ID</v>
      </c>
      <c r="T266" s="181" t="str">
        <f ca="1">IF(B266="","",IF(ISERROR(MATCH($J266,SorP!$B$1:$B$6226,0)),"",INDIRECT("'SorP'!$A$"&amp;MATCH($S266&amp;$J266,SorP!C:C,0))))</f>
        <v>ID-BB</v>
      </c>
      <c r="U266" s="201"/>
      <c r="V266" s="226" t="e">
        <f>IF(C266="",NA(),IF(OR(C266="Smelter not listed",C266="Smelter not yet identified"),MATCH($B266&amp;$D266,'Smelter Look-up'!$J:$J,0),MATCH($B266&amp;$C266,'Smelter Look-up'!$J:$J,0)))</f>
        <v>#N/A</v>
      </c>
      <c r="X266" s="227">
        <f t="shared" si="39"/>
        <v>0</v>
      </c>
      <c r="AB266" s="228" t="str">
        <f t="shared" si="40"/>
        <v>TinPT Tinindo Inter Nusa</v>
      </c>
    </row>
    <row r="267" spans="1:28" s="227" customFormat="1" ht="25.5">
      <c r="A267" s="181" t="s">
        <v>16507</v>
      </c>
      <c r="B267" s="182" t="s">
        <v>1099</v>
      </c>
      <c r="C267" s="186" t="s">
        <v>16508</v>
      </c>
      <c r="D267" s="230" t="s">
        <v>16508</v>
      </c>
      <c r="E267" s="182" t="s">
        <v>1074</v>
      </c>
      <c r="F267" s="182" t="s">
        <v>16507</v>
      </c>
      <c r="G267" s="182" t="s">
        <v>13177</v>
      </c>
      <c r="H267" s="183" t="s">
        <v>16509</v>
      </c>
      <c r="I267" s="184" t="s">
        <v>16510</v>
      </c>
      <c r="J267" s="184" t="s">
        <v>12799</v>
      </c>
      <c r="K267" s="224" t="s">
        <v>16511</v>
      </c>
      <c r="L267" s="224" t="s">
        <v>16512</v>
      </c>
      <c r="M267" s="224" t="s">
        <v>15886</v>
      </c>
      <c r="N267" s="224"/>
      <c r="O267" s="224" t="s">
        <v>16513</v>
      </c>
      <c r="P267" s="185" t="s">
        <v>476</v>
      </c>
      <c r="Q267" s="225"/>
      <c r="R267" s="182" t="str">
        <f ca="1">IF(ISERROR($V267),"",OFFSET('Smelter Look-up'!$C$4,$V267-4,0)&amp;"")</f>
        <v/>
      </c>
      <c r="S267" s="181" t="str">
        <f t="shared" ca="1" si="38"/>
        <v>ID</v>
      </c>
      <c r="T267" s="181" t="str">
        <f ca="1">IF(B267="","",IF(ISERROR(MATCH($J267,SorP!$B$1:$B$6226,0)),"",INDIRECT("'SorP'!$A$"&amp;MATCH($S267&amp;$J267,SorP!C:C,0))))</f>
        <v>ID-BB</v>
      </c>
      <c r="U267" s="201"/>
      <c r="V267" s="226" t="e">
        <f>IF(C267="",NA(),IF(OR(C267="Smelter not listed",C267="Smelter not yet identified"),MATCH($B267&amp;$D267,'Smelter Look-up'!$J:$J,0),MATCH($B267&amp;$C267,'Smelter Look-up'!$J:$J,0)))</f>
        <v>#N/A</v>
      </c>
      <c r="X267" s="227">
        <f t="shared" si="39"/>
        <v>0</v>
      </c>
      <c r="AB267" s="228" t="str">
        <f t="shared" si="40"/>
        <v>TinPT Tommy Utama</v>
      </c>
    </row>
    <row r="268" spans="1:28" s="227" customFormat="1" ht="102">
      <c r="A268" s="181" t="s">
        <v>16514</v>
      </c>
      <c r="B268" s="182" t="s">
        <v>1099</v>
      </c>
      <c r="C268" s="186" t="s">
        <v>16515</v>
      </c>
      <c r="D268" s="230" t="s">
        <v>16515</v>
      </c>
      <c r="E268" s="182" t="s">
        <v>1074</v>
      </c>
      <c r="F268" s="182" t="s">
        <v>16514</v>
      </c>
      <c r="G268" s="182" t="s">
        <v>13177</v>
      </c>
      <c r="H268" s="183" t="s">
        <v>16516</v>
      </c>
      <c r="I268" s="184" t="s">
        <v>14986</v>
      </c>
      <c r="J268" s="184" t="s">
        <v>12799</v>
      </c>
      <c r="K268" s="224" t="s">
        <v>16517</v>
      </c>
      <c r="L268" s="224" t="s">
        <v>16518</v>
      </c>
      <c r="M268" s="224"/>
      <c r="N268" s="224"/>
      <c r="O268" s="224" t="s">
        <v>16519</v>
      </c>
      <c r="P268" s="185"/>
      <c r="Q268" s="225"/>
      <c r="R268" s="182" t="str">
        <f ca="1">IF(ISERROR($V268),"",OFFSET('Smelter Look-up'!$C$4,$V268-4,0)&amp;"")</f>
        <v/>
      </c>
      <c r="S268" s="181" t="str">
        <f t="shared" ca="1" si="38"/>
        <v>ID</v>
      </c>
      <c r="T268" s="181" t="str">
        <f ca="1">IF(B268="","",IF(ISERROR(MATCH($J268,SorP!$B$1:$B$6226,0)),"",INDIRECT("'SorP'!$A$"&amp;MATCH($S268&amp;$J268,SorP!C:C,0))))</f>
        <v>ID-BB</v>
      </c>
      <c r="U268" s="201"/>
      <c r="V268" s="226" t="e">
        <f>IF(C268="",NA(),IF(OR(C268="Smelter not listed",C268="Smelter not yet identified"),MATCH($B268&amp;$D268,'Smelter Look-up'!$J:$J,0),MATCH($B268&amp;$C268,'Smelter Look-up'!$J:$J,0)))</f>
        <v>#N/A</v>
      </c>
      <c r="X268" s="227">
        <f t="shared" si="39"/>
        <v>0</v>
      </c>
      <c r="AB268" s="228" t="str">
        <f t="shared" si="40"/>
        <v>TinCV Venus Inti Perkasa</v>
      </c>
    </row>
    <row r="269" spans="1:28" s="227" customFormat="1" ht="20.25">
      <c r="A269" s="181" t="s">
        <v>16520</v>
      </c>
      <c r="B269" s="182" t="s">
        <v>1099</v>
      </c>
      <c r="C269" s="186" t="s">
        <v>16521</v>
      </c>
      <c r="D269" s="230" t="s">
        <v>16521</v>
      </c>
      <c r="E269" s="182" t="s">
        <v>1074</v>
      </c>
      <c r="F269" s="182" t="s">
        <v>16520</v>
      </c>
      <c r="G269" s="182" t="s">
        <v>13177</v>
      </c>
      <c r="H269" s="183" t="s">
        <v>15840</v>
      </c>
      <c r="I269" s="184" t="s">
        <v>16522</v>
      </c>
      <c r="J269" s="184" t="s">
        <v>5944</v>
      </c>
      <c r="K269" s="224"/>
      <c r="L269" s="224"/>
      <c r="M269" s="224"/>
      <c r="N269" s="224"/>
      <c r="O269" s="224" t="s">
        <v>16523</v>
      </c>
      <c r="P269" s="185"/>
      <c r="Q269" s="225"/>
      <c r="R269" s="182" t="str">
        <f ca="1">IF(ISERROR($V269),"",OFFSET('Smelter Look-up'!$C$4,$V269-4,0)&amp;"")</f>
        <v/>
      </c>
      <c r="S269" s="181" t="str">
        <f t="shared" ca="1" si="38"/>
        <v>ID</v>
      </c>
      <c r="T269" s="181" t="str">
        <f ca="1">IF(B269="","",IF(ISERROR(MATCH($J269,SorP!$B$1:$B$6226,0)),"",INDIRECT("'SorP'!$A$"&amp;MATCH($S269&amp;$J269,SorP!C:C,0))))</f>
        <v>ID-JB</v>
      </c>
      <c r="U269" s="201"/>
      <c r="V269" s="226" t="e">
        <f>IF(C269="",NA(),IF(OR(C269="Smelter not listed",C269="Smelter not yet identified"),MATCH($B269&amp;$D269,'Smelter Look-up'!$J:$J,0),MATCH($B269&amp;$C269,'Smelter Look-up'!$J:$J,0)))</f>
        <v>#N/A</v>
      </c>
      <c r="X269" s="227">
        <f t="shared" si="39"/>
        <v>0</v>
      </c>
      <c r="AB269" s="228" t="str">
        <f t="shared" si="40"/>
        <v>TinPT Tirus Putra Mandiri</v>
      </c>
    </row>
    <row r="270" spans="1:28" s="227" customFormat="1" ht="114.75">
      <c r="A270" s="181" t="s">
        <v>16524</v>
      </c>
      <c r="B270" s="182" t="s">
        <v>1099</v>
      </c>
      <c r="C270" s="186" t="s">
        <v>16525</v>
      </c>
      <c r="D270" s="230" t="s">
        <v>16525</v>
      </c>
      <c r="E270" s="182" t="s">
        <v>1074</v>
      </c>
      <c r="F270" s="182" t="s">
        <v>16524</v>
      </c>
      <c r="G270" s="182" t="s">
        <v>13177</v>
      </c>
      <c r="H270" s="183" t="s">
        <v>16526</v>
      </c>
      <c r="I270" s="184" t="s">
        <v>1726</v>
      </c>
      <c r="J270" s="184" t="s">
        <v>12799</v>
      </c>
      <c r="K270" s="224" t="s">
        <v>16527</v>
      </c>
      <c r="L270" s="224" t="s">
        <v>16528</v>
      </c>
      <c r="M270" s="224" t="s">
        <v>15886</v>
      </c>
      <c r="N270" s="224"/>
      <c r="O270" s="224" t="s">
        <v>16529</v>
      </c>
      <c r="P270" s="185" t="s">
        <v>476</v>
      </c>
      <c r="Q270" s="225"/>
      <c r="R270" s="182" t="str">
        <f ca="1">IF(ISERROR($V270),"",OFFSET('Smelter Look-up'!$C$4,$V270-4,0)&amp;"")</f>
        <v/>
      </c>
      <c r="S270" s="181" t="str">
        <f t="shared" ca="1" si="38"/>
        <v>ID</v>
      </c>
      <c r="T270" s="181" t="str">
        <f ca="1">IF(B270="","",IF(ISERROR(MATCH($J270,SorP!$B$1:$B$6226,0)),"",INDIRECT("'SorP'!$A$"&amp;MATCH($S270&amp;$J270,SorP!C:C,0))))</f>
        <v>ID-BB</v>
      </c>
      <c r="U270" s="201"/>
      <c r="V270" s="226" t="e">
        <f>IF(C270="",NA(),IF(OR(C270="Smelter not listed",C270="Smelter not yet identified"),MATCH($B270&amp;$D270,'Smelter Look-up'!$J:$J,0),MATCH($B270&amp;$C270,'Smelter Look-up'!$J:$J,0)))</f>
        <v>#N/A</v>
      </c>
      <c r="X270" s="227">
        <f t="shared" si="39"/>
        <v>0</v>
      </c>
      <c r="AB270" s="228" t="str">
        <f t="shared" si="40"/>
        <v>TinCV Ayi Jaya</v>
      </c>
    </row>
    <row r="271" spans="1:28" s="227" customFormat="1" ht="127.5">
      <c r="A271" s="181" t="s">
        <v>16530</v>
      </c>
      <c r="B271" s="182" t="s">
        <v>1099</v>
      </c>
      <c r="C271" s="186" t="s">
        <v>16531</v>
      </c>
      <c r="D271" s="230" t="s">
        <v>16531</v>
      </c>
      <c r="E271" s="182" t="s">
        <v>1074</v>
      </c>
      <c r="F271" s="182" t="s">
        <v>16530</v>
      </c>
      <c r="G271" s="182" t="s">
        <v>13177</v>
      </c>
      <c r="H271" s="183" t="s">
        <v>16532</v>
      </c>
      <c r="I271" s="184" t="s">
        <v>16470</v>
      </c>
      <c r="J271" s="184" t="s">
        <v>12799</v>
      </c>
      <c r="K271" s="224" t="s">
        <v>16533</v>
      </c>
      <c r="L271" s="224" t="s">
        <v>16534</v>
      </c>
      <c r="M271" s="224" t="s">
        <v>15886</v>
      </c>
      <c r="N271" s="224"/>
      <c r="O271" s="224" t="s">
        <v>16535</v>
      </c>
      <c r="P271" s="185" t="s">
        <v>476</v>
      </c>
      <c r="Q271" s="225"/>
      <c r="R271" s="182" t="str">
        <f ca="1">IF(ISERROR($V271),"",OFFSET('Smelter Look-up'!$C$4,$V271-4,0)&amp;"")</f>
        <v/>
      </c>
      <c r="S271" s="181" t="str">
        <f t="shared" ca="1" si="38"/>
        <v>ID</v>
      </c>
      <c r="T271" s="181" t="str">
        <f ca="1">IF(B271="","",IF(ISERROR(MATCH($J271,SorP!$B$1:$B$6226,0)),"",INDIRECT("'SorP'!$A$"&amp;MATCH($S271&amp;$J271,SorP!C:C,0))))</f>
        <v>ID-BB</v>
      </c>
      <c r="U271" s="201"/>
      <c r="V271" s="226" t="e">
        <f>IF(C271="",NA(),IF(OR(C271="Smelter not listed",C271="Smelter not yet identified"),MATCH($B271&amp;$D271,'Smelter Look-up'!$J:$J,0),MATCH($B271&amp;$C271,'Smelter Look-up'!$J:$J,0)))</f>
        <v>#N/A</v>
      </c>
      <c r="X271" s="227">
        <f t="shared" si="39"/>
        <v>0</v>
      </c>
      <c r="AB271" s="228" t="str">
        <f t="shared" si="40"/>
        <v>TinPT Sukses Inti Makmur (SIM)</v>
      </c>
    </row>
    <row r="272" spans="1:28" s="227" customFormat="1" ht="89.25">
      <c r="A272" s="181" t="s">
        <v>16536</v>
      </c>
      <c r="B272" s="182" t="s">
        <v>1099</v>
      </c>
      <c r="C272" s="186" t="s">
        <v>16537</v>
      </c>
      <c r="D272" s="230" t="s">
        <v>16537</v>
      </c>
      <c r="E272" s="182" t="s">
        <v>1074</v>
      </c>
      <c r="F272" s="182" t="s">
        <v>16536</v>
      </c>
      <c r="G272" s="182" t="s">
        <v>13177</v>
      </c>
      <c r="H272" s="183" t="s">
        <v>16538</v>
      </c>
      <c r="I272" s="184" t="s">
        <v>16539</v>
      </c>
      <c r="J272" s="184" t="s">
        <v>12799</v>
      </c>
      <c r="K272" s="224" t="s">
        <v>16517</v>
      </c>
      <c r="L272" s="224" t="s">
        <v>16518</v>
      </c>
      <c r="M272" s="224"/>
      <c r="N272" s="224" t="s">
        <v>16540</v>
      </c>
      <c r="O272" s="224" t="s">
        <v>16541</v>
      </c>
      <c r="P272" s="185" t="s">
        <v>476</v>
      </c>
      <c r="Q272" s="225"/>
      <c r="R272" s="182" t="str">
        <f ca="1">IF(ISERROR($V272),"",OFFSET('Smelter Look-up'!$C$4,$V272-4,0)&amp;"")</f>
        <v/>
      </c>
      <c r="S272" s="181" t="str">
        <f t="shared" ca="1" si="38"/>
        <v>ID</v>
      </c>
      <c r="T272" s="181" t="str">
        <f ca="1">IF(B272="","",IF(ISERROR(MATCH($J272,SorP!$B$1:$B$6226,0)),"",INDIRECT("'SorP'!$A$"&amp;MATCH($S272&amp;$J272,SorP!C:C,0))))</f>
        <v>ID-BB</v>
      </c>
      <c r="U272" s="201"/>
      <c r="V272" s="226" t="e">
        <f>IF(C272="",NA(),IF(OR(C272="Smelter not listed",C272="Smelter not yet identified"),MATCH($B272&amp;$D272,'Smelter Look-up'!$J:$J,0),MATCH($B272&amp;$C272,'Smelter Look-up'!$J:$J,0)))</f>
        <v>#N/A</v>
      </c>
      <c r="X272" s="227">
        <f t="shared" si="39"/>
        <v>0</v>
      </c>
      <c r="AB272" s="228" t="str">
        <f t="shared" si="40"/>
        <v>TinPT Menara Cipta Mulia</v>
      </c>
    </row>
    <row r="273" spans="1:28" s="227" customFormat="1" ht="102">
      <c r="A273" s="181" t="s">
        <v>16542</v>
      </c>
      <c r="B273" s="182" t="s">
        <v>1099</v>
      </c>
      <c r="C273" s="186" t="s">
        <v>16543</v>
      </c>
      <c r="D273" s="230" t="s">
        <v>16543</v>
      </c>
      <c r="E273" s="182" t="s">
        <v>1074</v>
      </c>
      <c r="F273" s="182" t="s">
        <v>16542</v>
      </c>
      <c r="G273" s="182" t="s">
        <v>13177</v>
      </c>
      <c r="H273" s="183" t="s">
        <v>15840</v>
      </c>
      <c r="I273" s="184" t="s">
        <v>14989</v>
      </c>
      <c r="J273" s="184" t="s">
        <v>12799</v>
      </c>
      <c r="K273" s="224"/>
      <c r="L273" s="224"/>
      <c r="M273" s="224"/>
      <c r="N273" s="224" t="s">
        <v>16544</v>
      </c>
      <c r="O273" s="224" t="s">
        <v>16545</v>
      </c>
      <c r="P273" s="185" t="s">
        <v>476</v>
      </c>
      <c r="Q273" s="225"/>
      <c r="R273" s="182" t="str">
        <f ca="1">IF(ISERROR($V273),"",OFFSET('Smelter Look-up'!$C$4,$V273-4,0)&amp;"")</f>
        <v/>
      </c>
      <c r="S273" s="181" t="str">
        <f t="shared" ca="1" si="38"/>
        <v>ID</v>
      </c>
      <c r="T273" s="181" t="str">
        <f ca="1">IF(B273="","",IF(ISERROR(MATCH($J273,SorP!$B$1:$B$6226,0)),"",INDIRECT("'SorP'!$A$"&amp;MATCH($S273&amp;$J273,SorP!C:C,0))))</f>
        <v>ID-BB</v>
      </c>
      <c r="U273" s="201"/>
      <c r="V273" s="226" t="e">
        <f>IF(C273="",NA(),IF(OR(C273="Smelter not listed",C273="Smelter not yet identified"),MATCH($B273&amp;$D273,'Smelter Look-up'!$J:$J,0),MATCH($B273&amp;$C273,'Smelter Look-up'!$J:$J,0)))</f>
        <v>#N/A</v>
      </c>
      <c r="X273" s="227">
        <f t="shared" si="39"/>
        <v>0</v>
      </c>
      <c r="AB273" s="228" t="str">
        <f t="shared" si="40"/>
        <v xml:space="preserve">TinPT Bangka Serumpun	</v>
      </c>
    </row>
    <row r="274" spans="1:28" s="227" customFormat="1" ht="25.5">
      <c r="A274" s="181" t="s">
        <v>16546</v>
      </c>
      <c r="B274" s="182" t="s">
        <v>1099</v>
      </c>
      <c r="C274" s="186" t="s">
        <v>16547</v>
      </c>
      <c r="D274" s="230" t="s">
        <v>16547</v>
      </c>
      <c r="E274" s="182" t="s">
        <v>1074</v>
      </c>
      <c r="F274" s="182" t="s">
        <v>16546</v>
      </c>
      <c r="G274" s="182" t="s">
        <v>13177</v>
      </c>
      <c r="H274" s="183" t="s">
        <v>15840</v>
      </c>
      <c r="I274" s="184" t="s">
        <v>1726</v>
      </c>
      <c r="J274" s="184" t="s">
        <v>12799</v>
      </c>
      <c r="K274" s="224"/>
      <c r="L274" s="224"/>
      <c r="M274" s="224"/>
      <c r="N274" s="224"/>
      <c r="O274" s="224"/>
      <c r="P274" s="185"/>
      <c r="Q274" s="225"/>
      <c r="R274" s="182" t="str">
        <f ca="1">IF(ISERROR($V274),"",OFFSET('Smelter Look-up'!$C$4,$V274-4,0)&amp;"")</f>
        <v/>
      </c>
      <c r="S274" s="181" t="str">
        <f t="shared" ca="1" si="38"/>
        <v>ID</v>
      </c>
      <c r="T274" s="181" t="str">
        <f ca="1">IF(B274="","",IF(ISERROR(MATCH($J274,SorP!$B$1:$B$6226,0)),"",INDIRECT("'SorP'!$A$"&amp;MATCH($S274&amp;$J274,SorP!C:C,0))))</f>
        <v>ID-BB</v>
      </c>
      <c r="U274" s="201"/>
      <c r="V274" s="226" t="e">
        <f>IF(C274="",NA(),IF(OR(C274="Smelter not listed",C274="Smelter not yet identified"),MATCH($B274&amp;$D274,'Smelter Look-up'!$J:$J,0),MATCH($B274&amp;$C274,'Smelter Look-up'!$J:$J,0)))</f>
        <v>#N/A</v>
      </c>
      <c r="X274" s="227">
        <f t="shared" si="39"/>
        <v>0</v>
      </c>
      <c r="AB274" s="228" t="str">
        <f t="shared" si="40"/>
        <v>TinPT Masbro Alam Stania</v>
      </c>
    </row>
    <row r="275" spans="1:28" s="227" customFormat="1" ht="102">
      <c r="A275" s="181" t="s">
        <v>16548</v>
      </c>
      <c r="B275" s="182" t="s">
        <v>1099</v>
      </c>
      <c r="C275" s="186" t="s">
        <v>16549</v>
      </c>
      <c r="D275" s="230" t="s">
        <v>16549</v>
      </c>
      <c r="E275" s="182" t="s">
        <v>1074</v>
      </c>
      <c r="F275" s="182" t="s">
        <v>16548</v>
      </c>
      <c r="G275" s="182" t="s">
        <v>13177</v>
      </c>
      <c r="H275" s="183" t="s">
        <v>16550</v>
      </c>
      <c r="I275" s="184" t="s">
        <v>16551</v>
      </c>
      <c r="J275" s="184" t="s">
        <v>12799</v>
      </c>
      <c r="K275" s="224" t="s">
        <v>16552</v>
      </c>
      <c r="L275" s="224" t="s">
        <v>16553</v>
      </c>
      <c r="M275" s="224" t="s">
        <v>15886</v>
      </c>
      <c r="N275" s="224" t="s">
        <v>16549</v>
      </c>
      <c r="O275" s="224" t="s">
        <v>16554</v>
      </c>
      <c r="P275" s="185" t="s">
        <v>476</v>
      </c>
      <c r="Q275" s="225"/>
      <c r="R275" s="182" t="str">
        <f ca="1">IF(ISERROR($V275),"",OFFSET('Smelter Look-up'!$C$4,$V275-4,0)&amp;"")</f>
        <v/>
      </c>
      <c r="S275" s="181" t="str">
        <f t="shared" ca="1" si="38"/>
        <v>ID</v>
      </c>
      <c r="T275" s="181" t="str">
        <f ca="1">IF(B275="","",IF(ISERROR(MATCH($J275,SorP!$B$1:$B$6226,0)),"",INDIRECT("'SorP'!$A$"&amp;MATCH($S275&amp;$J275,SorP!C:C,0))))</f>
        <v>ID-BB</v>
      </c>
      <c r="U275" s="201"/>
      <c r="V275" s="226" t="e">
        <f>IF(C275="",NA(),IF(OR(C275="Smelter not listed",C275="Smelter not yet identified"),MATCH($B275&amp;$D275,'Smelter Look-up'!$J:$J,0),MATCH($B275&amp;$C275,'Smelter Look-up'!$J:$J,0)))</f>
        <v>#N/A</v>
      </c>
      <c r="X275" s="227">
        <f t="shared" si="39"/>
        <v>0</v>
      </c>
      <c r="AB275" s="228" t="str">
        <f t="shared" si="40"/>
        <v>TinPT Rajawali Rimba Perkasa</v>
      </c>
    </row>
    <row r="276" spans="1:28" s="227" customFormat="1" ht="20.25">
      <c r="A276" s="181" t="s">
        <v>16555</v>
      </c>
      <c r="B276" s="182" t="s">
        <v>1099</v>
      </c>
      <c r="C276" s="186" t="s">
        <v>16556</v>
      </c>
      <c r="D276" s="230" t="s">
        <v>16556</v>
      </c>
      <c r="E276" s="182" t="s">
        <v>1074</v>
      </c>
      <c r="F276" s="182" t="s">
        <v>16555</v>
      </c>
      <c r="G276" s="182" t="s">
        <v>13177</v>
      </c>
      <c r="H276" s="183" t="s">
        <v>15840</v>
      </c>
      <c r="I276" s="184" t="s">
        <v>15840</v>
      </c>
      <c r="J276" s="184" t="s">
        <v>15840</v>
      </c>
      <c r="K276" s="224"/>
      <c r="L276" s="224"/>
      <c r="M276" s="224"/>
      <c r="N276" s="224"/>
      <c r="O276" s="224"/>
      <c r="P276" s="185"/>
      <c r="Q276" s="225"/>
      <c r="R276" s="182" t="str">
        <f ca="1">IF(ISERROR($V276),"",OFFSET('Smelter Look-up'!$C$4,$V276-4,0)&amp;"")</f>
        <v/>
      </c>
      <c r="S276" s="181" t="str">
        <f t="shared" ca="1" si="38"/>
        <v>ID</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si="39"/>
        <v>0</v>
      </c>
      <c r="AB276" s="228" t="str">
        <f t="shared" si="40"/>
        <v>TinPT Mitra Graha Raya</v>
      </c>
    </row>
    <row r="277" spans="1:28" s="227" customFormat="1" ht="89.25">
      <c r="A277" s="181" t="s">
        <v>649</v>
      </c>
      <c r="B277" s="182" t="s">
        <v>1098</v>
      </c>
      <c r="C277" s="186" t="s">
        <v>50</v>
      </c>
      <c r="D277" s="230" t="s">
        <v>50</v>
      </c>
      <c r="E277" s="182" t="s">
        <v>1076</v>
      </c>
      <c r="F277" s="182" t="s">
        <v>649</v>
      </c>
      <c r="G277" s="182" t="s">
        <v>13177</v>
      </c>
      <c r="H277" s="183"/>
      <c r="I277" s="184" t="s">
        <v>1536</v>
      </c>
      <c r="J277" s="184" t="s">
        <v>6417</v>
      </c>
      <c r="K277" s="224" t="s">
        <v>16557</v>
      </c>
      <c r="L277" s="224" t="s">
        <v>16558</v>
      </c>
      <c r="M277" s="224" t="s">
        <v>15826</v>
      </c>
      <c r="N277" s="224" t="s">
        <v>15827</v>
      </c>
      <c r="O277" s="224" t="s">
        <v>16559</v>
      </c>
      <c r="P277" s="185" t="s">
        <v>12407</v>
      </c>
      <c r="Q277" s="225" t="s">
        <v>15871</v>
      </c>
      <c r="R277" s="182" t="str">
        <f ca="1">IF(ISERROR($V277),"",OFFSET('Smelter Look-up'!$C$4,$V277-4,0)&amp;"")</f>
        <v>Chimet S.p.A.</v>
      </c>
      <c r="S277" s="181" t="str">
        <f t="shared" ca="1" si="38"/>
        <v>IT</v>
      </c>
      <c r="T277" s="181" t="str">
        <f ca="1">IF(B277="","",IF(ISERROR(MATCH($J277,SorP!$B$1:$B$6226,0)),"",INDIRECT("'SorP'!$A$"&amp;MATCH($S277&amp;$J277,SorP!C:C,0))))</f>
        <v>IT-52</v>
      </c>
      <c r="U277" s="201"/>
      <c r="V277" s="226">
        <f>IF(C277="",NA(),IF(OR(C277="Smelter not listed",C277="Smelter not yet identified"),MATCH($B277&amp;$D277,'Smelter Look-up'!$J:$J,0),MATCH($B277&amp;$C277,'Smelter Look-up'!$J:$J,0)))</f>
        <v>56</v>
      </c>
      <c r="X277" s="227">
        <f t="shared" si="39"/>
        <v>0</v>
      </c>
      <c r="AB277" s="228" t="str">
        <f t="shared" si="40"/>
        <v>GoldChimet S.p.A.</v>
      </c>
    </row>
    <row r="278" spans="1:28" s="227" customFormat="1" ht="229.5">
      <c r="A278" s="181" t="s">
        <v>1676</v>
      </c>
      <c r="B278" s="182" t="s">
        <v>1098</v>
      </c>
      <c r="C278" s="186" t="s">
        <v>2168</v>
      </c>
      <c r="D278" s="230" t="s">
        <v>2168</v>
      </c>
      <c r="E278" s="182" t="s">
        <v>1076</v>
      </c>
      <c r="F278" s="182" t="s">
        <v>1676</v>
      </c>
      <c r="G278" s="182" t="s">
        <v>13177</v>
      </c>
      <c r="H278" s="183" t="s">
        <v>16560</v>
      </c>
      <c r="I278" s="184" t="s">
        <v>1677</v>
      </c>
      <c r="J278" s="184" t="s">
        <v>6417</v>
      </c>
      <c r="K278" s="224" t="s">
        <v>15890</v>
      </c>
      <c r="L278" s="224" t="s">
        <v>16561</v>
      </c>
      <c r="M278" s="224" t="s">
        <v>15826</v>
      </c>
      <c r="N278" s="224" t="s">
        <v>15827</v>
      </c>
      <c r="O278" s="224" t="s">
        <v>16562</v>
      </c>
      <c r="P278" s="185" t="s">
        <v>12407</v>
      </c>
      <c r="Q278" s="225" t="s">
        <v>15829</v>
      </c>
      <c r="R278" s="182" t="str">
        <f ca="1">IF(ISERROR($V278),"",OFFSET('Smelter Look-up'!$C$4,$V278-4,0)&amp;"")</f>
        <v>T.C.A S.p.A</v>
      </c>
      <c r="S278" s="181" t="str">
        <f t="shared" ca="1" si="38"/>
        <v>IT</v>
      </c>
      <c r="T278" s="181" t="str">
        <f ca="1">IF(B278="","",IF(ISERROR(MATCH($J278,SorP!$B$1:$B$6226,0)),"",INDIRECT("'SorP'!$A$"&amp;MATCH($S278&amp;$J278,SorP!C:C,0))))</f>
        <v>IT-52</v>
      </c>
      <c r="U278" s="201"/>
      <c r="V278" s="226">
        <f>IF(C278="",NA(),IF(OR(C278="Smelter not listed",C278="Smelter not yet identified"),MATCH($B278&amp;$D278,'Smelter Look-up'!$J:$J,0),MATCH($B278&amp;$C278,'Smelter Look-up'!$J:$J,0)))</f>
        <v>278</v>
      </c>
      <c r="X278" s="227">
        <f t="shared" si="39"/>
        <v>0</v>
      </c>
      <c r="AB278" s="228" t="str">
        <f t="shared" si="40"/>
        <v>GoldT.C.A S.p.A</v>
      </c>
    </row>
    <row r="279" spans="1:28" s="227" customFormat="1" ht="102">
      <c r="A279" s="181" t="s">
        <v>2455</v>
      </c>
      <c r="B279" s="182" t="s">
        <v>1098</v>
      </c>
      <c r="C279" s="186" t="s">
        <v>2454</v>
      </c>
      <c r="D279" s="230" t="s">
        <v>2454</v>
      </c>
      <c r="E279" s="182" t="s">
        <v>1076</v>
      </c>
      <c r="F279" s="182" t="s">
        <v>2455</v>
      </c>
      <c r="G279" s="182" t="s">
        <v>13177</v>
      </c>
      <c r="H279" s="183" t="s">
        <v>16563</v>
      </c>
      <c r="I279" s="184" t="s">
        <v>1536</v>
      </c>
      <c r="J279" s="184" t="s">
        <v>6417</v>
      </c>
      <c r="K279" s="224" t="s">
        <v>16564</v>
      </c>
      <c r="L279" s="224" t="s">
        <v>16565</v>
      </c>
      <c r="M279" s="224" t="s">
        <v>15875</v>
      </c>
      <c r="N279" s="224" t="s">
        <v>16566</v>
      </c>
      <c r="O279" s="224" t="s">
        <v>16567</v>
      </c>
      <c r="P279" s="185" t="s">
        <v>12407</v>
      </c>
      <c r="Q279" s="225" t="s">
        <v>15829</v>
      </c>
      <c r="R279" s="182" t="str">
        <f ca="1">IF(ISERROR($V279),"",OFFSET('Smelter Look-up'!$C$4,$V279-4,0)&amp;"")</f>
        <v>Italpreziosi</v>
      </c>
      <c r="S279" s="181" t="str">
        <f t="shared" ca="1" si="38"/>
        <v>IT</v>
      </c>
      <c r="T279" s="181" t="str">
        <f ca="1">IF(B279="","",IF(ISERROR(MATCH($J279,SorP!$B$1:$B$6226,0)),"",INDIRECT("'SorP'!$A$"&amp;MATCH($S279&amp;$J279,SorP!C:C,0))))</f>
        <v>IT-52</v>
      </c>
      <c r="U279" s="201"/>
      <c r="V279" s="226">
        <f>IF(C279="",NA(),IF(OR(C279="Smelter not listed",C279="Smelter not yet identified"),MATCH($B279&amp;$D279,'Smelter Look-up'!$J:$J,0),MATCH($B279&amp;$C279,'Smelter Look-up'!$J:$J,0)))</f>
        <v>125</v>
      </c>
      <c r="X279" s="227">
        <f t="shared" si="39"/>
        <v>0</v>
      </c>
      <c r="AB279" s="228" t="str">
        <f t="shared" si="40"/>
        <v>GoldItalpreziosi</v>
      </c>
    </row>
    <row r="280" spans="1:28" s="227" customFormat="1" ht="76.5">
      <c r="A280" s="181" t="s">
        <v>13694</v>
      </c>
      <c r="B280" s="182" t="s">
        <v>1098</v>
      </c>
      <c r="C280" s="186" t="s">
        <v>13693</v>
      </c>
      <c r="D280" s="230" t="s">
        <v>13693</v>
      </c>
      <c r="E280" s="182" t="s">
        <v>1076</v>
      </c>
      <c r="F280" s="182" t="s">
        <v>13694</v>
      </c>
      <c r="G280" s="182" t="s">
        <v>13177</v>
      </c>
      <c r="H280" s="183"/>
      <c r="I280" s="184" t="s">
        <v>13733</v>
      </c>
      <c r="J280" s="184" t="s">
        <v>6370</v>
      </c>
      <c r="K280" s="224"/>
      <c r="L280" s="224"/>
      <c r="M280" s="224"/>
      <c r="N280" s="224"/>
      <c r="O280" s="224" t="s">
        <v>16568</v>
      </c>
      <c r="P280" s="185"/>
      <c r="Q280" s="225"/>
      <c r="R280" s="182" t="str">
        <f ca="1">IF(ISERROR($V280),"",OFFSET('Smelter Look-up'!$C$4,$V280-4,0)&amp;"")</f>
        <v>8853 S.p.A.</v>
      </c>
      <c r="S280" s="181" t="str">
        <f t="shared" ca="1" si="38"/>
        <v>IT</v>
      </c>
      <c r="T280" s="181" t="str">
        <f ca="1">IF(B280="","",IF(ISERROR(MATCH($J280,SorP!$B$1:$B$6226,0)),"",INDIRECT("'SorP'!$A$"&amp;MATCH($S280&amp;$J280,SorP!C:C,0))))</f>
        <v>IT-25</v>
      </c>
      <c r="U280" s="201"/>
      <c r="V280" s="226">
        <f>IF(C280="",NA(),IF(OR(C280="Smelter not listed",C280="Smelter not yet identified"),MATCH($B280&amp;$D280,'Smelter Look-up'!$J:$J,0),MATCH($B280&amp;$C280,'Smelter Look-up'!$J:$J,0)))</f>
        <v>5</v>
      </c>
      <c r="X280" s="227">
        <f t="shared" si="39"/>
        <v>0</v>
      </c>
      <c r="AB280" s="228" t="str">
        <f t="shared" si="40"/>
        <v>Gold8853 S.p.A.</v>
      </c>
    </row>
    <row r="281" spans="1:28" s="227" customFormat="1" ht="63.75">
      <c r="A281" s="181" t="s">
        <v>2470</v>
      </c>
      <c r="B281" s="182" t="s">
        <v>1098</v>
      </c>
      <c r="C281" s="186" t="s">
        <v>2469</v>
      </c>
      <c r="D281" s="230" t="s">
        <v>2469</v>
      </c>
      <c r="E281" s="182" t="s">
        <v>1076</v>
      </c>
      <c r="F281" s="182" t="s">
        <v>2470</v>
      </c>
      <c r="G281" s="182" t="s">
        <v>13177</v>
      </c>
      <c r="H281" s="183"/>
      <c r="I281" s="184" t="s">
        <v>1536</v>
      </c>
      <c r="J281" s="184" t="s">
        <v>6417</v>
      </c>
      <c r="K281" s="224"/>
      <c r="L281" s="224"/>
      <c r="M281" s="224"/>
      <c r="N281" s="224"/>
      <c r="O281" s="224" t="s">
        <v>16569</v>
      </c>
      <c r="P281" s="185"/>
      <c r="Q281" s="225"/>
      <c r="R281" s="182" t="str">
        <f ca="1">IF(ISERROR($V281),"",OFFSET('Smelter Look-up'!$C$4,$V281-4,0)&amp;"")</f>
        <v>Safimet S.p.A</v>
      </c>
      <c r="S281" s="181" t="str">
        <f t="shared" ca="1" si="38"/>
        <v>IT</v>
      </c>
      <c r="T281" s="181" t="str">
        <f ca="1">IF(B281="","",IF(ISERROR(MATCH($J281,SorP!$B$1:$B$6226,0)),"",INDIRECT("'SorP'!$A$"&amp;MATCH($S281&amp;$J281,SorP!C:C,0))))</f>
        <v>IT-52</v>
      </c>
      <c r="U281" s="201"/>
      <c r="V281" s="226">
        <f>IF(C281="",NA(),IF(OR(C281="Smelter not listed",C281="Smelter not yet identified"),MATCH($B281&amp;$D281,'Smelter Look-up'!$J:$J,0),MATCH($B281&amp;$C281,'Smelter Look-up'!$J:$J,0)))</f>
        <v>232</v>
      </c>
      <c r="X281" s="227">
        <f t="shared" si="39"/>
        <v>0</v>
      </c>
      <c r="AB281" s="228" t="str">
        <f t="shared" si="40"/>
        <v>GoldSafimet S.p.A</v>
      </c>
    </row>
    <row r="282" spans="1:28" s="227" customFormat="1" ht="127.5">
      <c r="A282" s="181" t="s">
        <v>767</v>
      </c>
      <c r="B282" s="182" t="s">
        <v>1101</v>
      </c>
      <c r="C282" s="186" t="s">
        <v>13721</v>
      </c>
      <c r="D282" s="230" t="s">
        <v>13721</v>
      </c>
      <c r="E282" s="182" t="s">
        <v>1077</v>
      </c>
      <c r="F282" s="182" t="s">
        <v>767</v>
      </c>
      <c r="G282" s="182" t="s">
        <v>13177</v>
      </c>
      <c r="H282" s="183" t="s">
        <v>16570</v>
      </c>
      <c r="I282" s="184" t="s">
        <v>2087</v>
      </c>
      <c r="J282" s="184" t="s">
        <v>2088</v>
      </c>
      <c r="K282" s="224" t="s">
        <v>16571</v>
      </c>
      <c r="L282" s="224" t="s">
        <v>16572</v>
      </c>
      <c r="M282" s="224" t="s">
        <v>15826</v>
      </c>
      <c r="N282" s="224" t="s">
        <v>15827</v>
      </c>
      <c r="O282" s="224" t="s">
        <v>16573</v>
      </c>
      <c r="P282" s="185" t="s">
        <v>12407</v>
      </c>
      <c r="Q282" s="225" t="s">
        <v>15961</v>
      </c>
      <c r="R282" s="182" t="str">
        <f ca="1">IF(ISERROR($V282),"",OFFSET('Smelter Look-up'!$C$4,$V282-4,0)&amp;"")</f>
        <v>A.L.M.T. Corp.</v>
      </c>
      <c r="S282" s="181" t="str">
        <f t="shared" ca="1" si="38"/>
        <v>JP</v>
      </c>
      <c r="T282" s="181" t="str">
        <f ca="1">IF(B282="","",IF(ISERROR(MATCH($J282,SorP!$B$1:$B$6226,0)),"",INDIRECT("'SorP'!$A$"&amp;MATCH($S282&amp;$J282,SorP!C:C,0))))</f>
        <v>JP-16</v>
      </c>
      <c r="U282" s="201"/>
      <c r="V282" s="226">
        <f>IF(C282="",NA(),IF(OR(C282="Smelter not listed",C282="Smelter not yet identified"),MATCH($B282&amp;$D282,'Smelter Look-up'!$J:$J,0),MATCH($B282&amp;$C282,'Smelter Look-up'!$J:$J,0)))</f>
        <v>553</v>
      </c>
      <c r="X282" s="227">
        <f t="shared" si="39"/>
        <v>0</v>
      </c>
      <c r="AB282" s="228" t="str">
        <f t="shared" si="40"/>
        <v>TungstenA.L.M.T. Corp.</v>
      </c>
    </row>
    <row r="283" spans="1:28" s="227" customFormat="1" ht="102">
      <c r="A283" s="181" t="s">
        <v>633</v>
      </c>
      <c r="B283" s="182" t="s">
        <v>1098</v>
      </c>
      <c r="C283" s="186" t="s">
        <v>2095</v>
      </c>
      <c r="D283" s="230" t="s">
        <v>2095</v>
      </c>
      <c r="E283" s="182" t="s">
        <v>1077</v>
      </c>
      <c r="F283" s="182" t="s">
        <v>633</v>
      </c>
      <c r="G283" s="182" t="s">
        <v>13177</v>
      </c>
      <c r="H283" s="183" t="s">
        <v>16574</v>
      </c>
      <c r="I283" s="184" t="s">
        <v>1508</v>
      </c>
      <c r="J283" s="184" t="s">
        <v>1509</v>
      </c>
      <c r="K283" s="224" t="s">
        <v>16575</v>
      </c>
      <c r="L283" s="224" t="s">
        <v>16576</v>
      </c>
      <c r="M283" s="224" t="s">
        <v>15886</v>
      </c>
      <c r="N283" s="224" t="s">
        <v>15827</v>
      </c>
      <c r="O283" s="224" t="s">
        <v>16577</v>
      </c>
      <c r="P283" s="185" t="s">
        <v>15949</v>
      </c>
      <c r="Q283" s="225" t="s">
        <v>15829</v>
      </c>
      <c r="R283" s="182" t="str">
        <f ca="1">IF(ISERROR($V283),"",OFFSET('Smelter Look-up'!$C$4,$V283-4,0)&amp;"")</f>
        <v>Aida Chemical Industries Co., Ltd.</v>
      </c>
      <c r="S283" s="181" t="str">
        <f t="shared" ca="1" si="38"/>
        <v>JP</v>
      </c>
      <c r="T283" s="181" t="str">
        <f ca="1">IF(B283="","",IF(ISERROR(MATCH($J283,SorP!$B$1:$B$6226,0)),"",INDIRECT("'SorP'!$A$"&amp;MATCH($S283&amp;$J283,SorP!C:C,0))))</f>
        <v>JP-13</v>
      </c>
      <c r="U283" s="201"/>
      <c r="V283" s="226">
        <f>IF(C283="",NA(),IF(OR(C283="Smelter not listed",C283="Smelter not yet identified"),MATCH($B283&amp;$D283,'Smelter Look-up'!$J:$J,0),MATCH($B283&amp;$C283,'Smelter Look-up'!$J:$J,0)))</f>
        <v>13</v>
      </c>
      <c r="X283" s="227">
        <f t="shared" si="39"/>
        <v>0</v>
      </c>
      <c r="AB283" s="228" t="str">
        <f t="shared" si="40"/>
        <v>GoldAida Chemical Industries Co., Ltd.</v>
      </c>
    </row>
    <row r="284" spans="1:28" s="227" customFormat="1" ht="25.5">
      <c r="A284" s="181" t="s">
        <v>665</v>
      </c>
      <c r="B284" s="182" t="s">
        <v>1098</v>
      </c>
      <c r="C284" s="186" t="s">
        <v>1194</v>
      </c>
      <c r="D284" s="230" t="s">
        <v>1194</v>
      </c>
      <c r="E284" s="182" t="s">
        <v>1077</v>
      </c>
      <c r="F284" s="182" t="s">
        <v>665</v>
      </c>
      <c r="G284" s="182" t="s">
        <v>13177</v>
      </c>
      <c r="H284" s="183" t="s">
        <v>16578</v>
      </c>
      <c r="I284" s="184" t="s">
        <v>1560</v>
      </c>
      <c r="J284" s="184" t="s">
        <v>1547</v>
      </c>
      <c r="K284" s="224" t="s">
        <v>16579</v>
      </c>
      <c r="L284" s="224" t="s">
        <v>16580</v>
      </c>
      <c r="M284" s="224" t="s">
        <v>15826</v>
      </c>
      <c r="N284" s="224"/>
      <c r="O284" s="224" t="s">
        <v>16581</v>
      </c>
      <c r="P284" s="185" t="s">
        <v>476</v>
      </c>
      <c r="Q284" s="225" t="s">
        <v>15871</v>
      </c>
      <c r="R284" s="182" t="str">
        <f ca="1">IF(ISERROR($V284),"",OFFSET('Smelter Look-up'!$C$4,$V284-4,0)&amp;"")</f>
        <v>Ishifuku Metal Industry Co., Ltd.</v>
      </c>
      <c r="S284" s="181" t="str">
        <f t="shared" ca="1" si="38"/>
        <v>JP</v>
      </c>
      <c r="T284" s="181" t="str">
        <f ca="1">IF(B284="","",IF(ISERROR(MATCH($J284,SorP!$B$1:$B$6226,0)),"",INDIRECT("'SorP'!$A$"&amp;MATCH($S284&amp;$J284,SorP!C:C,0))))</f>
        <v>JP-11</v>
      </c>
      <c r="U284" s="201"/>
      <c r="V284" s="226">
        <f>IF(C284="",NA(),IF(OR(C284="Smelter not listed",C284="Smelter not yet identified"),MATCH($B284&amp;$D284,'Smelter Look-up'!$J:$J,0),MATCH($B284&amp;$C284,'Smelter Look-up'!$J:$J,0)))</f>
        <v>123</v>
      </c>
      <c r="X284" s="227">
        <f t="shared" si="39"/>
        <v>0</v>
      </c>
      <c r="AB284" s="228" t="str">
        <f t="shared" si="40"/>
        <v>GoldIshifuku Metal Industry Co., Ltd.</v>
      </c>
    </row>
    <row r="285" spans="1:28" s="227" customFormat="1" ht="204">
      <c r="A285" s="181" t="s">
        <v>638</v>
      </c>
      <c r="B285" s="182" t="s">
        <v>1098</v>
      </c>
      <c r="C285" s="186" t="s">
        <v>2237</v>
      </c>
      <c r="D285" s="230" t="s">
        <v>2237</v>
      </c>
      <c r="E285" s="182" t="s">
        <v>1077</v>
      </c>
      <c r="F285" s="182" t="s">
        <v>638</v>
      </c>
      <c r="G285" s="182" t="s">
        <v>13177</v>
      </c>
      <c r="H285" s="183" t="s">
        <v>16582</v>
      </c>
      <c r="I285" s="184" t="s">
        <v>16583</v>
      </c>
      <c r="J285" s="184" t="s">
        <v>1518</v>
      </c>
      <c r="K285" s="224" t="s">
        <v>16584</v>
      </c>
      <c r="L285" s="224" t="s">
        <v>16585</v>
      </c>
      <c r="M285" s="224" t="s">
        <v>15869</v>
      </c>
      <c r="N285" s="224"/>
      <c r="O285" s="224" t="s">
        <v>16586</v>
      </c>
      <c r="P285" s="185" t="s">
        <v>476</v>
      </c>
      <c r="Q285" s="225" t="s">
        <v>15871</v>
      </c>
      <c r="R285" s="182" t="str">
        <f ca="1">IF(ISERROR($V285),"",OFFSET('Smelter Look-up'!$C$4,$V285-4,0)&amp;"")</f>
        <v>ASAHI METALFINE, Inc.</v>
      </c>
      <c r="S285" s="181" t="str">
        <f t="shared" ca="1" si="38"/>
        <v>JP</v>
      </c>
      <c r="T285" s="181" t="str">
        <f ca="1">IF(B285="","",IF(ISERROR(MATCH($J285,SorP!$B$1:$B$6226,0)),"",INDIRECT("'SorP'!$A$"&amp;MATCH($S285&amp;$J285,SorP!C:C,0))))</f>
        <v>JP-28</v>
      </c>
      <c r="U285" s="201"/>
      <c r="V285" s="226">
        <f>IF(C285="",NA(),IF(OR(C285="Smelter not listed",C285="Smelter not yet identified"),MATCH($B285&amp;$D285,'Smelter Look-up'!$J:$J,0),MATCH($B285&amp;$C285,'Smelter Look-up'!$J:$J,0)))</f>
        <v>30</v>
      </c>
      <c r="X285" s="227">
        <f t="shared" si="39"/>
        <v>0</v>
      </c>
      <c r="AB285" s="228" t="str">
        <f t="shared" si="40"/>
        <v>GoldAsahi Pretec Corp.</v>
      </c>
    </row>
    <row r="286" spans="1:28" s="227" customFormat="1" ht="255">
      <c r="A286" s="181" t="s">
        <v>639</v>
      </c>
      <c r="B286" s="182" t="s">
        <v>1098</v>
      </c>
      <c r="C286" s="186" t="s">
        <v>2096</v>
      </c>
      <c r="D286" s="230" t="s">
        <v>2096</v>
      </c>
      <c r="E286" s="182" t="s">
        <v>1077</v>
      </c>
      <c r="F286" s="182" t="s">
        <v>639</v>
      </c>
      <c r="G286" s="182" t="s">
        <v>13177</v>
      </c>
      <c r="H286" s="183"/>
      <c r="I286" s="184" t="s">
        <v>1520</v>
      </c>
      <c r="J286" s="184" t="s">
        <v>1521</v>
      </c>
      <c r="K286" s="224" t="s">
        <v>16587</v>
      </c>
      <c r="L286" s="224" t="s">
        <v>16588</v>
      </c>
      <c r="M286" s="224" t="s">
        <v>15826</v>
      </c>
      <c r="N286" s="224" t="s">
        <v>15827</v>
      </c>
      <c r="O286" s="224" t="s">
        <v>16589</v>
      </c>
      <c r="P286" s="185" t="s">
        <v>15949</v>
      </c>
      <c r="Q286" s="225" t="s">
        <v>15822</v>
      </c>
      <c r="R286" s="182" t="str">
        <f ca="1">IF(ISERROR($V286),"",OFFSET('Smelter Look-up'!$C$4,$V286-4,0)&amp;"")</f>
        <v>Asaka Riken Co., Ltd.</v>
      </c>
      <c r="S286" s="181" t="str">
        <f t="shared" ca="1" si="38"/>
        <v>JP</v>
      </c>
      <c r="T286" s="181" t="str">
        <f ca="1">IF(B286="","",IF(ISERROR(MATCH($J286,SorP!$B$1:$B$6226,0)),"",INDIRECT("'SorP'!$A$"&amp;MATCH($S286&amp;$J286,SorP!C:C,0))))</f>
        <v>JP-07</v>
      </c>
      <c r="U286" s="201"/>
      <c r="V286" s="226">
        <f>IF(C286="",NA(),IF(OR(C286="Smelter not listed",C286="Smelter not yet identified"),MATCH($B286&amp;$D286,'Smelter Look-up'!$J:$J,0),MATCH($B286&amp;$C286,'Smelter Look-up'!$J:$J,0)))</f>
        <v>33</v>
      </c>
      <c r="X286" s="227">
        <f t="shared" si="39"/>
        <v>0</v>
      </c>
      <c r="AB286" s="228" t="str">
        <f t="shared" si="40"/>
        <v>GoldAsaka Riken Co., Ltd.</v>
      </c>
    </row>
    <row r="287" spans="1:28" s="227" customFormat="1" ht="102">
      <c r="A287" s="181" t="s">
        <v>650</v>
      </c>
      <c r="B287" s="182" t="s">
        <v>1098</v>
      </c>
      <c r="C287" s="186" t="s">
        <v>524</v>
      </c>
      <c r="D287" s="230" t="s">
        <v>524</v>
      </c>
      <c r="E287" s="182" t="s">
        <v>1077</v>
      </c>
      <c r="F287" s="182" t="s">
        <v>650</v>
      </c>
      <c r="G287" s="182" t="s">
        <v>13177</v>
      </c>
      <c r="H287" s="183"/>
      <c r="I287" s="184" t="s">
        <v>1537</v>
      </c>
      <c r="J287" s="184" t="s">
        <v>1509</v>
      </c>
      <c r="K287" s="224" t="s">
        <v>16590</v>
      </c>
      <c r="L287" s="224" t="s">
        <v>16591</v>
      </c>
      <c r="M287" s="224" t="s">
        <v>15826</v>
      </c>
      <c r="N287" s="224" t="s">
        <v>15827</v>
      </c>
      <c r="O287" s="224" t="s">
        <v>16592</v>
      </c>
      <c r="P287" s="185" t="s">
        <v>15949</v>
      </c>
      <c r="Q287" s="225" t="s">
        <v>15829</v>
      </c>
      <c r="R287" s="182" t="str">
        <f ca="1">IF(ISERROR($V287),"",OFFSET('Smelter Look-up'!$C$4,$V287-4,0)&amp;"")</f>
        <v>Chugai Mining</v>
      </c>
      <c r="S287" s="181" t="str">
        <f t="shared" ca="1" si="38"/>
        <v>JP</v>
      </c>
      <c r="T287" s="181" t="str">
        <f ca="1">IF(B287="","",IF(ISERROR(MATCH($J287,SorP!$B$1:$B$6226,0)),"",INDIRECT("'SorP'!$A$"&amp;MATCH($S287&amp;$J287,SorP!C:C,0))))</f>
        <v>JP-13</v>
      </c>
      <c r="U287" s="201"/>
      <c r="V287" s="226">
        <f>IF(C287="",NA(),IF(OR(C287="Smelter not listed",C287="Smelter not yet identified"),MATCH($B287&amp;$D287,'Smelter Look-up'!$J:$J,0),MATCH($B287&amp;$C287,'Smelter Look-up'!$J:$J,0)))</f>
        <v>59</v>
      </c>
      <c r="X287" s="227">
        <f t="shared" si="39"/>
        <v>0</v>
      </c>
      <c r="AB287" s="228" t="str">
        <f t="shared" si="40"/>
        <v>GoldChugai Mining</v>
      </c>
    </row>
    <row r="288" spans="1:28" s="227" customFormat="1" ht="204">
      <c r="A288" s="181" t="s">
        <v>654</v>
      </c>
      <c r="B288" s="182" t="s">
        <v>1098</v>
      </c>
      <c r="C288" s="186" t="s">
        <v>877</v>
      </c>
      <c r="D288" s="230" t="s">
        <v>877</v>
      </c>
      <c r="E288" s="182" t="s">
        <v>1077</v>
      </c>
      <c r="F288" s="182" t="s">
        <v>654</v>
      </c>
      <c r="G288" s="182" t="s">
        <v>13177</v>
      </c>
      <c r="H288" s="183" t="s">
        <v>16593</v>
      </c>
      <c r="I288" s="184" t="s">
        <v>1541</v>
      </c>
      <c r="J288" s="184" t="s">
        <v>1542</v>
      </c>
      <c r="K288" s="224" t="s">
        <v>16594</v>
      </c>
      <c r="L288" s="224" t="s">
        <v>16595</v>
      </c>
      <c r="M288" s="224" t="s">
        <v>15826</v>
      </c>
      <c r="N288" s="224" t="s">
        <v>15827</v>
      </c>
      <c r="O288" s="224" t="s">
        <v>16596</v>
      </c>
      <c r="P288" s="185" t="s">
        <v>12407</v>
      </c>
      <c r="Q288" s="225" t="s">
        <v>15871</v>
      </c>
      <c r="R288" s="182" t="str">
        <f ca="1">IF(ISERROR($V288),"",OFFSET('Smelter Look-up'!$C$4,$V288-4,0)&amp;"")</f>
        <v>Dowa</v>
      </c>
      <c r="S288" s="181" t="str">
        <f t="shared" ca="1" si="38"/>
        <v>JP</v>
      </c>
      <c r="T288" s="181" t="str">
        <f ca="1">IF(B288="","",IF(ISERROR(MATCH($J288,SorP!$B$1:$B$6226,0)),"",INDIRECT("'SorP'!$A$"&amp;MATCH($S288&amp;$J288,SorP!C:C,0))))</f>
        <v>JP-05</v>
      </c>
      <c r="U288" s="201"/>
      <c r="V288" s="226">
        <f>IF(C288="",NA(),IF(OR(C288="Smelter not listed",C288="Smelter not yet identified"),MATCH($B288&amp;$D288,'Smelter Look-up'!$J:$J,0),MATCH($B288&amp;$C288,'Smelter Look-up'!$J:$J,0)))</f>
        <v>68</v>
      </c>
      <c r="X288" s="227">
        <f t="shared" si="39"/>
        <v>0</v>
      </c>
      <c r="AB288" s="228" t="str">
        <f t="shared" si="40"/>
        <v>GoldDowa</v>
      </c>
    </row>
    <row r="289" spans="1:28" s="227" customFormat="1" ht="51">
      <c r="A289" s="181" t="s">
        <v>1374</v>
      </c>
      <c r="B289" s="182" t="s">
        <v>1099</v>
      </c>
      <c r="C289" s="186" t="s">
        <v>877</v>
      </c>
      <c r="D289" s="230" t="s">
        <v>877</v>
      </c>
      <c r="E289" s="182" t="s">
        <v>1077</v>
      </c>
      <c r="F289" s="182" t="s">
        <v>1374</v>
      </c>
      <c r="G289" s="182" t="s">
        <v>13177</v>
      </c>
      <c r="H289" s="183" t="s">
        <v>16593</v>
      </c>
      <c r="I289" s="184" t="s">
        <v>1541</v>
      </c>
      <c r="J289" s="184" t="s">
        <v>1542</v>
      </c>
      <c r="K289" s="224" t="s">
        <v>16594</v>
      </c>
      <c r="L289" s="224" t="s">
        <v>16595</v>
      </c>
      <c r="M289" s="224" t="s">
        <v>15833</v>
      </c>
      <c r="N289" s="224" t="s">
        <v>15827</v>
      </c>
      <c r="O289" s="224" t="s">
        <v>16597</v>
      </c>
      <c r="P289" s="185" t="s">
        <v>15949</v>
      </c>
      <c r="Q289" s="225" t="s">
        <v>15829</v>
      </c>
      <c r="R289" s="182" t="str">
        <f ca="1">IF(ISERROR($V289),"",OFFSET('Smelter Look-up'!$C$4,$V289-4,0)&amp;"")</f>
        <v>Dowa</v>
      </c>
      <c r="S289" s="181" t="str">
        <f t="shared" ca="1" si="38"/>
        <v>JP</v>
      </c>
      <c r="T289" s="181" t="str">
        <f ca="1">IF(B289="","",IF(ISERROR(MATCH($J289,SorP!$B$1:$B$6226,0)),"",INDIRECT("'SorP'!$A$"&amp;MATCH($S289&amp;$J289,SorP!C:C,0))))</f>
        <v>JP-05</v>
      </c>
      <c r="U289" s="201"/>
      <c r="V289" s="226">
        <f>IF(C289="",NA(),IF(OR(C289="Smelter not listed",C289="Smelter not yet identified"),MATCH($B289&amp;$D289,'Smelter Look-up'!$J:$J,0),MATCH($B289&amp;$C289,'Smelter Look-up'!$J:$J,0)))</f>
        <v>425</v>
      </c>
      <c r="X289" s="227">
        <f t="shared" si="39"/>
        <v>0</v>
      </c>
      <c r="AB289" s="228" t="str">
        <f t="shared" si="40"/>
        <v>TinDowa</v>
      </c>
    </row>
    <row r="290" spans="1:28" s="227" customFormat="1" ht="25.5">
      <c r="A290" s="181" t="s">
        <v>384</v>
      </c>
      <c r="B290" s="182" t="s">
        <v>1098</v>
      </c>
      <c r="C290" s="186" t="s">
        <v>13747</v>
      </c>
      <c r="D290" s="230" t="s">
        <v>13747</v>
      </c>
      <c r="E290" s="182" t="s">
        <v>1077</v>
      </c>
      <c r="F290" s="182" t="s">
        <v>384</v>
      </c>
      <c r="G290" s="182" t="s">
        <v>13177</v>
      </c>
      <c r="H290" s="183"/>
      <c r="I290" s="184" t="s">
        <v>1546</v>
      </c>
      <c r="J290" s="184" t="s">
        <v>1547</v>
      </c>
      <c r="K290" s="224" t="s">
        <v>16598</v>
      </c>
      <c r="L290" s="224" t="s">
        <v>16599</v>
      </c>
      <c r="M290" s="224" t="s">
        <v>15826</v>
      </c>
      <c r="N290" s="224" t="s">
        <v>15827</v>
      </c>
      <c r="O290" s="224" t="s">
        <v>16600</v>
      </c>
      <c r="P290" s="185" t="s">
        <v>12407</v>
      </c>
      <c r="Q290" s="225" t="s">
        <v>15829</v>
      </c>
      <c r="R290" s="182" t="str">
        <f ca="1">IF(ISERROR($V290),"",OFFSET('Smelter Look-up'!$C$4,$V290-4,0)&amp;"")</f>
        <v>Eco-System Recycling Co., Ltd. East Plant</v>
      </c>
      <c r="S290" s="181" t="str">
        <f t="shared" ca="1" si="38"/>
        <v>JP</v>
      </c>
      <c r="T290" s="181" t="str">
        <f ca="1">IF(B290="","",IF(ISERROR(MATCH($J290,SorP!$B$1:$B$6226,0)),"",INDIRECT("'SorP'!$A$"&amp;MATCH($S290&amp;$J290,SorP!C:C,0))))</f>
        <v>JP-11</v>
      </c>
      <c r="U290" s="201"/>
      <c r="V290" s="226">
        <f>IF(C290="",NA(),IF(OR(C290="Smelter not listed",C290="Smelter not yet identified"),MATCH($B290&amp;$D290,'Smelter Look-up'!$J:$J,0),MATCH($B290&amp;$C290,'Smelter Look-up'!$J:$J,0)))</f>
        <v>73</v>
      </c>
      <c r="X290" s="227">
        <f t="shared" si="39"/>
        <v>0</v>
      </c>
      <c r="AB290" s="228" t="str">
        <f t="shared" si="40"/>
        <v>GoldEco-System Recycling Co., Ltd. East Plant</v>
      </c>
    </row>
    <row r="291" spans="1:28" s="227" customFormat="1" ht="25.5">
      <c r="A291" s="181" t="s">
        <v>667</v>
      </c>
      <c r="B291" s="182" t="s">
        <v>1098</v>
      </c>
      <c r="C291" s="186" t="s">
        <v>879</v>
      </c>
      <c r="D291" s="230" t="s">
        <v>879</v>
      </c>
      <c r="E291" s="182" t="s">
        <v>1077</v>
      </c>
      <c r="F291" s="182" t="s">
        <v>667</v>
      </c>
      <c r="G291" s="182" t="s">
        <v>13177</v>
      </c>
      <c r="H291" s="183" t="s">
        <v>16601</v>
      </c>
      <c r="I291" s="184" t="s">
        <v>1562</v>
      </c>
      <c r="J291" s="184" t="s">
        <v>1562</v>
      </c>
      <c r="K291" s="224" t="s">
        <v>15840</v>
      </c>
      <c r="L291" s="224" t="s">
        <v>16602</v>
      </c>
      <c r="M291" s="224" t="s">
        <v>15869</v>
      </c>
      <c r="N291" s="224" t="s">
        <v>15827</v>
      </c>
      <c r="O291" s="224" t="s">
        <v>16603</v>
      </c>
      <c r="P291" s="185" t="s">
        <v>12407</v>
      </c>
      <c r="Q291" s="225" t="s">
        <v>15829</v>
      </c>
      <c r="R291" s="182" t="str">
        <f ca="1">IF(ISERROR($V291),"",OFFSET('Smelter Look-up'!$C$4,$V291-4,0)&amp;"")</f>
        <v>Japan Mint</v>
      </c>
      <c r="S291" s="181" t="str">
        <f t="shared" ca="1" si="38"/>
        <v>JP</v>
      </c>
      <c r="T291" s="181" t="str">
        <f ca="1">IF(B291="","",IF(ISERROR(MATCH($J291,SorP!$B$1:$B$6226,0)),"",INDIRECT("'SorP'!$A$"&amp;MATCH($S291&amp;$J291,SorP!C:C,0))))</f>
        <v>JP-27</v>
      </c>
      <c r="U291" s="201"/>
      <c r="V291" s="226">
        <f>IF(C291="",NA(),IF(OR(C291="Smelter not listed",C291="Smelter not yet identified"),MATCH($B291&amp;$D291,'Smelter Look-up'!$J:$J,0),MATCH($B291&amp;$C291,'Smelter Look-up'!$J:$J,0)))</f>
        <v>127</v>
      </c>
      <c r="X291" s="227">
        <f t="shared" si="39"/>
        <v>0</v>
      </c>
      <c r="AB291" s="228" t="str">
        <f t="shared" si="40"/>
        <v>GoldJapan Mint</v>
      </c>
    </row>
    <row r="292" spans="1:28" s="227" customFormat="1" ht="102">
      <c r="A292" s="181" t="s">
        <v>773</v>
      </c>
      <c r="B292" s="182" t="s">
        <v>1101</v>
      </c>
      <c r="C292" s="186" t="s">
        <v>1347</v>
      </c>
      <c r="D292" s="230" t="s">
        <v>1347</v>
      </c>
      <c r="E292" s="182" t="s">
        <v>1077</v>
      </c>
      <c r="F292" s="182" t="s">
        <v>773</v>
      </c>
      <c r="G292" s="182" t="s">
        <v>13177</v>
      </c>
      <c r="H292" s="183"/>
      <c r="I292" s="184" t="s">
        <v>2090</v>
      </c>
      <c r="J292" s="184" t="s">
        <v>1542</v>
      </c>
      <c r="K292" s="224" t="s">
        <v>16604</v>
      </c>
      <c r="L292" s="224" t="s">
        <v>16605</v>
      </c>
      <c r="M292" s="224" t="s">
        <v>15826</v>
      </c>
      <c r="N292" s="224" t="s">
        <v>15827</v>
      </c>
      <c r="O292" s="224" t="s">
        <v>16606</v>
      </c>
      <c r="P292" s="185" t="s">
        <v>12407</v>
      </c>
      <c r="Q292" s="225" t="s">
        <v>15829</v>
      </c>
      <c r="R292" s="182" t="str">
        <f ca="1">IF(ISERROR($V292),"",OFFSET('Smelter Look-up'!$C$4,$V292-4,0)&amp;"")</f>
        <v>Japan New Metals Co., Ltd.</v>
      </c>
      <c r="S292" s="181" t="str">
        <f t="shared" ca="1" si="38"/>
        <v>JP</v>
      </c>
      <c r="T292" s="181" t="str">
        <f ca="1">IF(B292="","",IF(ISERROR(MATCH($J292,SorP!$B$1:$B$6226,0)),"",INDIRECT("'SorP'!$A$"&amp;MATCH($S292&amp;$J292,SorP!C:C,0))))</f>
        <v>JP-05</v>
      </c>
      <c r="U292" s="201"/>
      <c r="V292" s="226">
        <f>IF(C292="",NA(),IF(OR(C292="Smelter not listed",C292="Smelter not yet identified"),MATCH($B292&amp;$D292,'Smelter Look-up'!$J:$J,0),MATCH($B292&amp;$C292,'Smelter Look-up'!$J:$J,0)))</f>
        <v>591</v>
      </c>
      <c r="X292" s="227">
        <f t="shared" si="39"/>
        <v>0</v>
      </c>
      <c r="AB292" s="228" t="str">
        <f t="shared" si="40"/>
        <v>TungstenJapan New Metals Co., Ltd.</v>
      </c>
    </row>
    <row r="293" spans="1:28" s="227" customFormat="1" ht="38.25">
      <c r="A293" s="181" t="s">
        <v>673</v>
      </c>
      <c r="B293" s="182" t="s">
        <v>1098</v>
      </c>
      <c r="C293" s="186" t="s">
        <v>52</v>
      </c>
      <c r="D293" s="230" t="s">
        <v>52</v>
      </c>
      <c r="E293" s="182" t="s">
        <v>1077</v>
      </c>
      <c r="F293" s="182" t="s">
        <v>673</v>
      </c>
      <c r="G293" s="182" t="s">
        <v>13177</v>
      </c>
      <c r="H293" s="183" t="s">
        <v>16607</v>
      </c>
      <c r="I293" s="184" t="s">
        <v>2314</v>
      </c>
      <c r="J293" s="184" t="s">
        <v>6611</v>
      </c>
      <c r="K293" s="224" t="s">
        <v>16608</v>
      </c>
      <c r="L293" s="224" t="s">
        <v>16609</v>
      </c>
      <c r="M293" s="224" t="s">
        <v>15826</v>
      </c>
      <c r="N293" s="224" t="s">
        <v>16610</v>
      </c>
      <c r="O293" s="224" t="s">
        <v>16611</v>
      </c>
      <c r="P293" s="185" t="s">
        <v>476</v>
      </c>
      <c r="Q293" s="225" t="s">
        <v>15829</v>
      </c>
      <c r="R293" s="182" t="str">
        <f ca="1">IF(ISERROR($V293),"",OFFSET('Smelter Look-up'!$C$4,$V293-4,0)&amp;"")</f>
        <v>JX Nippon Mining &amp; Metals Co., Ltd.</v>
      </c>
      <c r="S293" s="181" t="str">
        <f t="shared" ca="1" si="38"/>
        <v>JP</v>
      </c>
      <c r="T293" s="181" t="str">
        <f ca="1">IF(B293="","",IF(ISERROR(MATCH($J293,SorP!$B$1:$B$6226,0)),"",INDIRECT("'SorP'!$A$"&amp;MATCH($S293&amp;$J293,SorP!C:C,0))))</f>
        <v>JP-44</v>
      </c>
      <c r="U293" s="201"/>
      <c r="V293" s="226">
        <f>IF(C293="",NA(),IF(OR(C293="Smelter not listed",C293="Smelter not yet identified"),MATCH($B293&amp;$D293,'Smelter Look-up'!$J:$J,0),MATCH($B293&amp;$C293,'Smelter Look-up'!$J:$J,0)))</f>
        <v>137</v>
      </c>
      <c r="X293" s="227">
        <f t="shared" si="39"/>
        <v>0</v>
      </c>
      <c r="AB293" s="228" t="str">
        <f t="shared" si="40"/>
        <v>GoldJX Nippon Mining &amp; Metals Co., Ltd.</v>
      </c>
    </row>
    <row r="294" spans="1:28" s="227" customFormat="1" ht="178.5">
      <c r="A294" s="181" t="s">
        <v>677</v>
      </c>
      <c r="B294" s="182" t="s">
        <v>1098</v>
      </c>
      <c r="C294" s="186" t="s">
        <v>2102</v>
      </c>
      <c r="D294" s="230" t="s">
        <v>2102</v>
      </c>
      <c r="E294" s="182" t="s">
        <v>1077</v>
      </c>
      <c r="F294" s="182" t="s">
        <v>677</v>
      </c>
      <c r="G294" s="182" t="s">
        <v>13177</v>
      </c>
      <c r="H294" s="183" t="s">
        <v>16612</v>
      </c>
      <c r="I294" s="184" t="s">
        <v>1574</v>
      </c>
      <c r="J294" s="184" t="s">
        <v>1547</v>
      </c>
      <c r="K294" s="224" t="s">
        <v>16613</v>
      </c>
      <c r="L294" s="224" t="s">
        <v>16614</v>
      </c>
      <c r="M294" s="224" t="s">
        <v>15826</v>
      </c>
      <c r="N294" s="224" t="s">
        <v>15827</v>
      </c>
      <c r="O294" s="224" t="s">
        <v>16615</v>
      </c>
      <c r="P294" s="185" t="s">
        <v>12407</v>
      </c>
      <c r="Q294" s="225" t="s">
        <v>15829</v>
      </c>
      <c r="R294" s="182" t="str">
        <f ca="1">IF(ISERROR($V294),"",OFFSET('Smelter Look-up'!$C$4,$V294-4,0)&amp;"")</f>
        <v>Kojima Chemicals Co., Ltd.</v>
      </c>
      <c r="S294" s="181" t="str">
        <f t="shared" ref="S294:S324" ca="1" si="41">IF(B294="","",IF(ISERROR(MATCH($E294,CL,0)),"Unknown",INDIRECT("'C'!$A$"&amp;MATCH($E294,CL,0)+1)))</f>
        <v>JP</v>
      </c>
      <c r="T294" s="181" t="str">
        <f ca="1">IF(B294="","",IF(ISERROR(MATCH($J294,SorP!$B$1:$B$6226,0)),"",INDIRECT("'SorP'!$A$"&amp;MATCH($S294&amp;$J294,SorP!C:C,0))))</f>
        <v>JP-11</v>
      </c>
      <c r="U294" s="201"/>
      <c r="V294" s="226">
        <f>IF(C294="",NA(),IF(OR(C294="Smelter not listed",C294="Smelter not yet identified"),MATCH($B294&amp;$D294,'Smelter Look-up'!$J:$J,0),MATCH($B294&amp;$C294,'Smelter Look-up'!$J:$J,0)))</f>
        <v>147</v>
      </c>
      <c r="X294" s="227">
        <f t="shared" ref="X294:X324" si="42">IF(AND(C294="Smelter not listed",OR(LEN(D294)=0,LEN(E294)=0)),1,0)</f>
        <v>0</v>
      </c>
      <c r="AB294" s="228" t="str">
        <f t="shared" ref="AB294:AB324" si="43">B294&amp;C294</f>
        <v>GoldKojima Chemicals Co., Ltd.</v>
      </c>
    </row>
    <row r="295" spans="1:28" s="227" customFormat="1" ht="178.5">
      <c r="A295" s="181" t="s">
        <v>685</v>
      </c>
      <c r="B295" s="182" t="s">
        <v>1098</v>
      </c>
      <c r="C295" s="186" t="s">
        <v>53</v>
      </c>
      <c r="D295" s="230" t="s">
        <v>53</v>
      </c>
      <c r="E295" s="182" t="s">
        <v>1077</v>
      </c>
      <c r="F295" s="182" t="s">
        <v>685</v>
      </c>
      <c r="G295" s="182" t="s">
        <v>13177</v>
      </c>
      <c r="H295" s="183" t="s">
        <v>16616</v>
      </c>
      <c r="I295" s="184" t="s">
        <v>1584</v>
      </c>
      <c r="J295" s="184" t="s">
        <v>1547</v>
      </c>
      <c r="K295" s="224" t="s">
        <v>16617</v>
      </c>
      <c r="L295" s="224" t="s">
        <v>16618</v>
      </c>
      <c r="M295" s="224" t="s">
        <v>15826</v>
      </c>
      <c r="N295" s="224" t="s">
        <v>15827</v>
      </c>
      <c r="O295" s="224" t="s">
        <v>16619</v>
      </c>
      <c r="P295" s="185" t="s">
        <v>12407</v>
      </c>
      <c r="Q295" s="225" t="s">
        <v>15829</v>
      </c>
      <c r="R295" s="182" t="str">
        <f ca="1">IF(ISERROR($V295),"",OFFSET('Smelter Look-up'!$C$4,$V295-4,0)&amp;"")</f>
        <v>Matsuda Sangyo Co., Ltd.</v>
      </c>
      <c r="S295" s="181" t="str">
        <f t="shared" ca="1" si="41"/>
        <v>JP</v>
      </c>
      <c r="T295" s="181" t="str">
        <f ca="1">IF(B295="","",IF(ISERROR(MATCH($J295,SorP!$B$1:$B$6226,0)),"",INDIRECT("'SorP'!$A$"&amp;MATCH($S295&amp;$J295,SorP!C:C,0))))</f>
        <v>JP-11</v>
      </c>
      <c r="U295" s="201"/>
      <c r="V295" s="226">
        <f>IF(C295="",NA(),IF(OR(C295="Smelter not listed",C295="Smelter not yet identified"),MATCH($B295&amp;$D295,'Smelter Look-up'!$J:$J,0),MATCH($B295&amp;$C295,'Smelter Look-up'!$J:$J,0)))</f>
        <v>170</v>
      </c>
      <c r="X295" s="227">
        <f t="shared" si="42"/>
        <v>0</v>
      </c>
      <c r="AB295" s="228" t="str">
        <f t="shared" si="43"/>
        <v>GoldMatsuda Sangyo Co., Ltd.</v>
      </c>
    </row>
    <row r="296" spans="1:28" s="227" customFormat="1" ht="114.75">
      <c r="A296" s="181" t="s">
        <v>691</v>
      </c>
      <c r="B296" s="182" t="s">
        <v>1098</v>
      </c>
      <c r="C296" s="186" t="s">
        <v>1131</v>
      </c>
      <c r="D296" s="230" t="s">
        <v>1131</v>
      </c>
      <c r="E296" s="182" t="s">
        <v>1077</v>
      </c>
      <c r="F296" s="182" t="s">
        <v>691</v>
      </c>
      <c r="G296" s="182" t="s">
        <v>13177</v>
      </c>
      <c r="H296" s="183"/>
      <c r="I296" s="184" t="s">
        <v>1509</v>
      </c>
      <c r="J296" s="184" t="s">
        <v>1509</v>
      </c>
      <c r="K296" s="224" t="s">
        <v>16620</v>
      </c>
      <c r="L296" s="224" t="s">
        <v>16621</v>
      </c>
      <c r="M296" s="224" t="s">
        <v>15826</v>
      </c>
      <c r="N296" s="224" t="s">
        <v>15827</v>
      </c>
      <c r="O296" s="224" t="s">
        <v>16622</v>
      </c>
      <c r="P296" s="185" t="s">
        <v>12407</v>
      </c>
      <c r="Q296" s="225" t="s">
        <v>15829</v>
      </c>
      <c r="R296" s="182" t="str">
        <f ca="1">IF(ISERROR($V296),"",OFFSET('Smelter Look-up'!$C$4,$V296-4,0)&amp;"")</f>
        <v>Mitsubishi Materials Corporation</v>
      </c>
      <c r="S296" s="181" t="str">
        <f t="shared" ca="1" si="41"/>
        <v>JP</v>
      </c>
      <c r="T296" s="181" t="str">
        <f ca="1">IF(B296="","",IF(ISERROR(MATCH($J296,SorP!$B$1:$B$6226,0)),"",INDIRECT("'SorP'!$A$"&amp;MATCH($S296&amp;$J296,SorP!C:C,0))))</f>
        <v>JP-13</v>
      </c>
      <c r="U296" s="201"/>
      <c r="V296" s="226">
        <f>IF(C296="",NA(),IF(OR(C296="Smelter not listed",C296="Smelter not yet identified"),MATCH($B296&amp;$D296,'Smelter Look-up'!$J:$J,0),MATCH($B296&amp;$C296,'Smelter Look-up'!$J:$J,0)))</f>
        <v>189</v>
      </c>
      <c r="X296" s="227">
        <f t="shared" si="42"/>
        <v>0</v>
      </c>
      <c r="AB296" s="228" t="str">
        <f t="shared" si="43"/>
        <v>GoldMitsubishi Materials Corporation</v>
      </c>
    </row>
    <row r="297" spans="1:28" s="227" customFormat="1" ht="51">
      <c r="A297" s="181" t="s">
        <v>755</v>
      </c>
      <c r="B297" s="182" t="s">
        <v>1099</v>
      </c>
      <c r="C297" s="186" t="s">
        <v>1131</v>
      </c>
      <c r="D297" s="230" t="s">
        <v>1131</v>
      </c>
      <c r="E297" s="182" t="s">
        <v>1077</v>
      </c>
      <c r="F297" s="182" t="s">
        <v>755</v>
      </c>
      <c r="G297" s="182" t="s">
        <v>13177</v>
      </c>
      <c r="H297" s="183" t="s">
        <v>16623</v>
      </c>
      <c r="I297" s="184" t="s">
        <v>15643</v>
      </c>
      <c r="J297" s="184" t="s">
        <v>6618</v>
      </c>
      <c r="K297" s="224" t="s">
        <v>16620</v>
      </c>
      <c r="L297" s="224" t="s">
        <v>16621</v>
      </c>
      <c r="M297" s="224" t="s">
        <v>15826</v>
      </c>
      <c r="N297" s="224" t="s">
        <v>15827</v>
      </c>
      <c r="O297" s="224" t="s">
        <v>16624</v>
      </c>
      <c r="P297" s="185" t="s">
        <v>15949</v>
      </c>
      <c r="Q297" s="225" t="s">
        <v>15829</v>
      </c>
      <c r="R297" s="182" t="str">
        <f ca="1">IF(ISERROR($V297),"",OFFSET('Smelter Look-up'!$C$4,$V297-4,0)&amp;"")</f>
        <v>Mitsubishi Materials Corporation</v>
      </c>
      <c r="S297" s="181" t="str">
        <f t="shared" ca="1" si="41"/>
        <v>JP</v>
      </c>
      <c r="T297" s="181" t="str">
        <f ca="1">IF(B297="","",IF(ISERROR(MATCH($J297,SorP!$B$1:$B$6226,0)),"",INDIRECT("'SorP'!$A$"&amp;MATCH($S297&amp;$J297,SorP!C:C,0))))</f>
        <v>JP-28</v>
      </c>
      <c r="U297" s="201"/>
      <c r="V297" s="226">
        <f>IF(C297="",NA(),IF(OR(C297="Smelter not listed",C297="Smelter not yet identified"),MATCH($B297&amp;$D297,'Smelter Look-up'!$J:$J,0),MATCH($B297&amp;$C297,'Smelter Look-up'!$J:$J,0)))</f>
        <v>482</v>
      </c>
      <c r="X297" s="227">
        <f t="shared" si="42"/>
        <v>0</v>
      </c>
      <c r="AB297" s="228" t="str">
        <f t="shared" si="43"/>
        <v>TinMitsubishi Materials Corporation</v>
      </c>
    </row>
    <row r="298" spans="1:28" s="227" customFormat="1" ht="127.5">
      <c r="A298" s="181" t="s">
        <v>736</v>
      </c>
      <c r="B298" s="182" t="s">
        <v>1100</v>
      </c>
      <c r="C298" s="186" t="s">
        <v>1196</v>
      </c>
      <c r="D298" s="230" t="s">
        <v>1196</v>
      </c>
      <c r="E298" s="182" t="s">
        <v>1077</v>
      </c>
      <c r="F298" s="182" t="s">
        <v>736</v>
      </c>
      <c r="G298" s="182" t="s">
        <v>13177</v>
      </c>
      <c r="H298" s="183" t="s">
        <v>16625</v>
      </c>
      <c r="I298" s="184" t="s">
        <v>1688</v>
      </c>
      <c r="J298" s="184" t="s">
        <v>1689</v>
      </c>
      <c r="K298" s="224" t="s">
        <v>16626</v>
      </c>
      <c r="L298" s="224" t="s">
        <v>16627</v>
      </c>
      <c r="M298" s="224" t="s">
        <v>15833</v>
      </c>
      <c r="N298" s="224" t="s">
        <v>15827</v>
      </c>
      <c r="O298" s="224" t="s">
        <v>16628</v>
      </c>
      <c r="P298" s="185" t="s">
        <v>12407</v>
      </c>
      <c r="Q298" s="225" t="s">
        <v>15829</v>
      </c>
      <c r="R298" s="182" t="str">
        <f ca="1">IF(ISERROR($V298),"",OFFSET('Smelter Look-up'!$C$4,$V298-4,0)&amp;"")</f>
        <v>Mitsui Mining and Smelting Co., Ltd.</v>
      </c>
      <c r="S298" s="181" t="str">
        <f t="shared" ca="1" si="41"/>
        <v>JP</v>
      </c>
      <c r="T298" s="181" t="str">
        <f ca="1">IF(B298="","",IF(ISERROR(MATCH($J298,SorP!$B$1:$B$6226,0)),"",INDIRECT("'SorP'!$A$"&amp;MATCH($S298&amp;$J298,SorP!C:C,0))))</f>
        <v>JP-40</v>
      </c>
      <c r="U298" s="201"/>
      <c r="V298" s="226">
        <f>IF(C298="",NA(),IF(OR(C298="Smelter not listed",C298="Smelter not yet identified"),MATCH($B298&amp;$D298,'Smelter Look-up'!$J:$J,0),MATCH($B298&amp;$C298,'Smelter Look-up'!$J:$J,0)))</f>
        <v>367</v>
      </c>
      <c r="X298" s="227">
        <f t="shared" si="42"/>
        <v>0</v>
      </c>
      <c r="AB298" s="228" t="str">
        <f t="shared" si="43"/>
        <v>TantalumMitsui Mining and Smelting Co., Ltd.</v>
      </c>
    </row>
    <row r="299" spans="1:28" s="227" customFormat="1" ht="25.5">
      <c r="A299" s="181" t="s">
        <v>692</v>
      </c>
      <c r="B299" s="182" t="s">
        <v>1098</v>
      </c>
      <c r="C299" s="186" t="s">
        <v>1196</v>
      </c>
      <c r="D299" s="230" t="s">
        <v>1196</v>
      </c>
      <c r="E299" s="182" t="s">
        <v>1077</v>
      </c>
      <c r="F299" s="182" t="s">
        <v>692</v>
      </c>
      <c r="G299" s="182" t="s">
        <v>13177</v>
      </c>
      <c r="H299" s="183" t="s">
        <v>16629</v>
      </c>
      <c r="I299" s="184" t="s">
        <v>1594</v>
      </c>
      <c r="J299" s="184" t="s">
        <v>1593</v>
      </c>
      <c r="K299" s="224" t="s">
        <v>16626</v>
      </c>
      <c r="L299" s="224" t="s">
        <v>16627</v>
      </c>
      <c r="M299" s="224" t="s">
        <v>15826</v>
      </c>
      <c r="N299" s="224" t="s">
        <v>15827</v>
      </c>
      <c r="O299" s="224" t="s">
        <v>16611</v>
      </c>
      <c r="P299" s="185" t="s">
        <v>476</v>
      </c>
      <c r="Q299" s="225" t="s">
        <v>15829</v>
      </c>
      <c r="R299" s="182" t="str">
        <f ca="1">IF(ISERROR($V299),"",OFFSET('Smelter Look-up'!$C$4,$V299-4,0)&amp;"")</f>
        <v>Mitsui Mining and Smelting Co., Ltd.</v>
      </c>
      <c r="S299" s="181" t="str">
        <f t="shared" ca="1" si="41"/>
        <v>JP</v>
      </c>
      <c r="T299" s="181" t="str">
        <f ca="1">IF(B299="","",IF(ISERROR(MATCH($J299,SorP!$B$1:$B$6226,0)),"",INDIRECT("'SorP'!$A$"&amp;MATCH($S299&amp;$J299,SorP!C:C,0))))</f>
        <v>JP-34</v>
      </c>
      <c r="U299" s="201"/>
      <c r="V299" s="226">
        <f>IF(C299="",NA(),IF(OR(C299="Smelter not listed",C299="Smelter not yet identified"),MATCH($B299&amp;$D299,'Smelter Look-up'!$J:$J,0),MATCH($B299&amp;$C299,'Smelter Look-up'!$J:$J,0)))</f>
        <v>191</v>
      </c>
      <c r="X299" s="227">
        <f t="shared" si="42"/>
        <v>0</v>
      </c>
      <c r="AB299" s="228" t="str">
        <f t="shared" si="43"/>
        <v>GoldMitsui Mining and Smelting Co., Ltd.</v>
      </c>
    </row>
    <row r="300" spans="1:28" s="227" customFormat="1" ht="102">
      <c r="A300" s="181" t="s">
        <v>696</v>
      </c>
      <c r="B300" s="182" t="s">
        <v>1098</v>
      </c>
      <c r="C300" s="186" t="s">
        <v>2109</v>
      </c>
      <c r="D300" s="230" t="s">
        <v>2109</v>
      </c>
      <c r="E300" s="182" t="s">
        <v>1077</v>
      </c>
      <c r="F300" s="182" t="s">
        <v>696</v>
      </c>
      <c r="G300" s="182" t="s">
        <v>13177</v>
      </c>
      <c r="H300" s="183" t="s">
        <v>16630</v>
      </c>
      <c r="I300" s="184" t="s">
        <v>1599</v>
      </c>
      <c r="J300" s="184" t="s">
        <v>1600</v>
      </c>
      <c r="K300" s="224" t="s">
        <v>16631</v>
      </c>
      <c r="L300" s="224" t="s">
        <v>16632</v>
      </c>
      <c r="M300" s="224" t="s">
        <v>15826</v>
      </c>
      <c r="N300" s="224" t="s">
        <v>15827</v>
      </c>
      <c r="O300" s="224" t="s">
        <v>16633</v>
      </c>
      <c r="P300" s="185" t="s">
        <v>12407</v>
      </c>
      <c r="Q300" s="225" t="s">
        <v>15829</v>
      </c>
      <c r="R300" s="182" t="str">
        <f ca="1">IF(ISERROR($V300),"",OFFSET('Smelter Look-up'!$C$4,$V300-4,0)&amp;"")</f>
        <v>Nihon Material Co., Ltd.</v>
      </c>
      <c r="S300" s="181" t="str">
        <f t="shared" ca="1" si="41"/>
        <v>JP</v>
      </c>
      <c r="T300" s="181" t="str">
        <f ca="1">IF(B300="","",IF(ISERROR(MATCH($J300,SorP!$B$1:$B$6226,0)),"",INDIRECT("'SorP'!$A$"&amp;MATCH($S300&amp;$J300,SorP!C:C,0))))</f>
        <v>JP-12</v>
      </c>
      <c r="U300" s="201"/>
      <c r="V300" s="226">
        <f>IF(C300="",NA(),IF(OR(C300="Smelter not listed",C300="Smelter not yet identified"),MATCH($B300&amp;$D300,'Smelter Look-up'!$J:$J,0),MATCH($B300&amp;$C300,'Smelter Look-up'!$J:$J,0)))</f>
        <v>201</v>
      </c>
      <c r="X300" s="227">
        <f t="shared" si="42"/>
        <v>0</v>
      </c>
      <c r="AB300" s="228" t="str">
        <f t="shared" si="43"/>
        <v>GoldNihon Material Co., Ltd.</v>
      </c>
    </row>
    <row r="301" spans="1:28" s="227" customFormat="1" ht="114.75">
      <c r="A301" s="181" t="s">
        <v>697</v>
      </c>
      <c r="B301" s="182" t="s">
        <v>1098</v>
      </c>
      <c r="C301" s="186" t="s">
        <v>2110</v>
      </c>
      <c r="D301" s="230" t="s">
        <v>2110</v>
      </c>
      <c r="E301" s="182" t="s">
        <v>1077</v>
      </c>
      <c r="F301" s="182" t="s">
        <v>697</v>
      </c>
      <c r="G301" s="182" t="s">
        <v>13177</v>
      </c>
      <c r="H301" s="183"/>
      <c r="I301" s="184" t="s">
        <v>1602</v>
      </c>
      <c r="J301" s="184" t="s">
        <v>1603</v>
      </c>
      <c r="K301" s="224" t="s">
        <v>16634</v>
      </c>
      <c r="L301" s="224" t="s">
        <v>16635</v>
      </c>
      <c r="M301" s="224" t="s">
        <v>15826</v>
      </c>
      <c r="N301" s="224" t="s">
        <v>15827</v>
      </c>
      <c r="O301" s="224" t="s">
        <v>16636</v>
      </c>
      <c r="P301" s="185" t="s">
        <v>15949</v>
      </c>
      <c r="Q301" s="225" t="s">
        <v>15829</v>
      </c>
      <c r="R301" s="182" t="str">
        <f ca="1">IF(ISERROR($V301),"",OFFSET('Smelter Look-up'!$C$4,$V301-4,0)&amp;"")</f>
        <v>Ohura Precious Metal Industry Co., Ltd.</v>
      </c>
      <c r="S301" s="181" t="str">
        <f t="shared" ca="1" si="41"/>
        <v>JP</v>
      </c>
      <c r="T301" s="181" t="str">
        <f ca="1">IF(B301="","",IF(ISERROR(MATCH($J301,SorP!$B$1:$B$6226,0)),"",INDIRECT("'SorP'!$A$"&amp;MATCH($S301&amp;$J301,SorP!C:C,0))))</f>
        <v>JP-29</v>
      </c>
      <c r="U301" s="201"/>
      <c r="V301" s="226">
        <f>IF(C301="",NA(),IF(OR(C301="Smelter not listed",C301="Smelter not yet identified"),MATCH($B301&amp;$D301,'Smelter Look-up'!$J:$J,0),MATCH($B301&amp;$C301,'Smelter Look-up'!$J:$J,0)))</f>
        <v>207</v>
      </c>
      <c r="X301" s="227">
        <f t="shared" si="42"/>
        <v>0</v>
      </c>
      <c r="AB301" s="228" t="str">
        <f t="shared" si="43"/>
        <v>GoldOhura Precious Metal Industry Co., Ltd.</v>
      </c>
    </row>
    <row r="302" spans="1:28" s="227" customFormat="1" ht="76.5">
      <c r="A302" s="181" t="s">
        <v>712</v>
      </c>
      <c r="B302" s="182" t="s">
        <v>1098</v>
      </c>
      <c r="C302" s="186" t="s">
        <v>54</v>
      </c>
      <c r="D302" s="230" t="s">
        <v>54</v>
      </c>
      <c r="E302" s="182" t="s">
        <v>1077</v>
      </c>
      <c r="F302" s="182" t="s">
        <v>712</v>
      </c>
      <c r="G302" s="182" t="s">
        <v>13177</v>
      </c>
      <c r="H302" s="183" t="s">
        <v>16637</v>
      </c>
      <c r="I302" s="184" t="s">
        <v>1628</v>
      </c>
      <c r="J302" s="184" t="s">
        <v>2165</v>
      </c>
      <c r="K302" s="224" t="s">
        <v>16638</v>
      </c>
      <c r="L302" s="224" t="s">
        <v>16639</v>
      </c>
      <c r="M302" s="224" t="s">
        <v>15826</v>
      </c>
      <c r="N302" s="224" t="s">
        <v>16640</v>
      </c>
      <c r="O302" s="224" t="s">
        <v>16641</v>
      </c>
      <c r="P302" s="185" t="s">
        <v>12407</v>
      </c>
      <c r="Q302" s="225" t="s">
        <v>15829</v>
      </c>
      <c r="R302" s="182" t="str">
        <f ca="1">IF(ISERROR($V302),"",OFFSET('Smelter Look-up'!$C$4,$V302-4,0)&amp;"")</f>
        <v>Sumitomo Metal Mining Co., Ltd.</v>
      </c>
      <c r="S302" s="181" t="str">
        <f t="shared" ca="1" si="41"/>
        <v>JP</v>
      </c>
      <c r="T302" s="181" t="str">
        <f ca="1">IF(B302="","",IF(ISERROR(MATCH($J302,SorP!$B$1:$B$6226,0)),"",INDIRECT("'SorP'!$A$"&amp;MATCH($S302&amp;$J302,SorP!C:C,0))))</f>
        <v>JP-38</v>
      </c>
      <c r="U302" s="201"/>
      <c r="V302" s="226">
        <f>IF(C302="",NA(),IF(OR(C302="Smelter not listed",C302="Smelter not yet identified"),MATCH($B302&amp;$D302,'Smelter Look-up'!$J:$J,0),MATCH($B302&amp;$C302,'Smelter Look-up'!$J:$J,0)))</f>
        <v>274</v>
      </c>
      <c r="X302" s="227">
        <f t="shared" si="42"/>
        <v>0</v>
      </c>
      <c r="AB302" s="228" t="str">
        <f t="shared" si="43"/>
        <v>GoldSumitomo Metal Mining Co., Ltd.</v>
      </c>
    </row>
    <row r="303" spans="1:28" s="227" customFormat="1" ht="89.25">
      <c r="A303" s="181" t="s">
        <v>741</v>
      </c>
      <c r="B303" s="182" t="s">
        <v>1100</v>
      </c>
      <c r="C303" s="186" t="s">
        <v>2397</v>
      </c>
      <c r="D303" s="230" t="s">
        <v>2397</v>
      </c>
      <c r="E303" s="182" t="s">
        <v>1077</v>
      </c>
      <c r="F303" s="182" t="s">
        <v>741</v>
      </c>
      <c r="G303" s="182" t="s">
        <v>13177</v>
      </c>
      <c r="H303" s="183" t="s">
        <v>16642</v>
      </c>
      <c r="I303" s="184" t="s">
        <v>1696</v>
      </c>
      <c r="J303" s="184" t="s">
        <v>1518</v>
      </c>
      <c r="K303" s="224" t="s">
        <v>16643</v>
      </c>
      <c r="L303" s="224" t="s">
        <v>16644</v>
      </c>
      <c r="M303" s="224" t="s">
        <v>15826</v>
      </c>
      <c r="N303" s="224" t="s">
        <v>15917</v>
      </c>
      <c r="O303" s="224" t="s">
        <v>16645</v>
      </c>
      <c r="P303" s="185" t="s">
        <v>476</v>
      </c>
      <c r="Q303" s="225" t="s">
        <v>16646</v>
      </c>
      <c r="R303" s="182" t="str">
        <f ca="1">IF(ISERROR($V303),"",OFFSET('Smelter Look-up'!$C$4,$V303-4,0)&amp;"")</f>
        <v>Taki Chemical Co., Ltd.</v>
      </c>
      <c r="S303" s="181" t="str">
        <f t="shared" ca="1" si="41"/>
        <v>JP</v>
      </c>
      <c r="T303" s="181" t="str">
        <f ca="1">IF(B303="","",IF(ISERROR(MATCH($J303,SorP!$B$1:$B$6226,0)),"",INDIRECT("'SorP'!$A$"&amp;MATCH($S303&amp;$J303,SorP!C:C,0))))</f>
        <v>JP-28</v>
      </c>
      <c r="U303" s="201"/>
      <c r="V303" s="226">
        <f>IF(C303="",NA(),IF(OR(C303="Smelter not listed",C303="Smelter not yet identified"),MATCH($B303&amp;$D303,'Smelter Look-up'!$J:$J,0),MATCH($B303&amp;$C303,'Smelter Look-up'!$J:$J,0)))</f>
        <v>382</v>
      </c>
      <c r="X303" s="227">
        <f t="shared" si="42"/>
        <v>0</v>
      </c>
      <c r="AB303" s="228" t="str">
        <f t="shared" si="43"/>
        <v>TantalumTaki Chemical Co., Ltd.</v>
      </c>
    </row>
    <row r="304" spans="1:28" s="227" customFormat="1" ht="89.25">
      <c r="A304" s="181" t="s">
        <v>713</v>
      </c>
      <c r="B304" s="182" t="s">
        <v>1098</v>
      </c>
      <c r="C304" s="186" t="s">
        <v>1199</v>
      </c>
      <c r="D304" s="230" t="s">
        <v>1199</v>
      </c>
      <c r="E304" s="182" t="s">
        <v>1077</v>
      </c>
      <c r="F304" s="182" t="s">
        <v>713</v>
      </c>
      <c r="G304" s="182" t="s">
        <v>13177</v>
      </c>
      <c r="H304" s="183" t="s">
        <v>16647</v>
      </c>
      <c r="I304" s="184" t="s">
        <v>1629</v>
      </c>
      <c r="J304" s="184" t="s">
        <v>1630</v>
      </c>
      <c r="K304" s="224" t="s">
        <v>16648</v>
      </c>
      <c r="L304" s="224" t="s">
        <v>16649</v>
      </c>
      <c r="M304" s="224" t="s">
        <v>15826</v>
      </c>
      <c r="N304" s="224" t="s">
        <v>15827</v>
      </c>
      <c r="O304" s="224" t="s">
        <v>16650</v>
      </c>
      <c r="P304" s="185" t="s">
        <v>475</v>
      </c>
      <c r="Q304" s="225" t="s">
        <v>15822</v>
      </c>
      <c r="R304" s="182" t="str">
        <f ca="1">IF(ISERROR($V304),"",OFFSET('Smelter Look-up'!$C$4,$V304-4,0)&amp;"")</f>
        <v>Tanaka Kikinzoku Kogyo K.K.</v>
      </c>
      <c r="S304" s="181" t="str">
        <f t="shared" ca="1" si="41"/>
        <v>JP</v>
      </c>
      <c r="T304" s="181" t="str">
        <f ca="1">IF(B304="","",IF(ISERROR(MATCH($J304,SorP!$B$1:$B$6226,0)),"",INDIRECT("'SorP'!$A$"&amp;MATCH($S304&amp;$J304,SorP!C:C,0))))</f>
        <v>JP-14</v>
      </c>
      <c r="U304" s="201"/>
      <c r="V304" s="226">
        <f>IF(C304="",NA(),IF(OR(C304="Smelter not listed",C304="Smelter not yet identified"),MATCH($B304&amp;$D304,'Smelter Look-up'!$J:$J,0),MATCH($B304&amp;$C304,'Smelter Look-up'!$J:$J,0)))</f>
        <v>287</v>
      </c>
      <c r="X304" s="227">
        <f t="shared" si="42"/>
        <v>0</v>
      </c>
      <c r="AB304" s="228" t="str">
        <f t="shared" si="43"/>
        <v>GoldTanaka Kikinzoku Kogyo K.K.</v>
      </c>
    </row>
    <row r="305" spans="1:28" s="227" customFormat="1" ht="89.25">
      <c r="A305" s="181" t="s">
        <v>716</v>
      </c>
      <c r="B305" s="182" t="s">
        <v>1098</v>
      </c>
      <c r="C305" s="186" t="s">
        <v>2117</v>
      </c>
      <c r="D305" s="230" t="s">
        <v>2117</v>
      </c>
      <c r="E305" s="182" t="s">
        <v>1077</v>
      </c>
      <c r="F305" s="182" t="s">
        <v>716</v>
      </c>
      <c r="G305" s="182" t="s">
        <v>13177</v>
      </c>
      <c r="H305" s="183" t="s">
        <v>16651</v>
      </c>
      <c r="I305" s="184" t="s">
        <v>1635</v>
      </c>
      <c r="J305" s="184" t="s">
        <v>1547</v>
      </c>
      <c r="K305" s="224" t="s">
        <v>16652</v>
      </c>
      <c r="L305" s="224" t="s">
        <v>16653</v>
      </c>
      <c r="M305" s="224" t="s">
        <v>15826</v>
      </c>
      <c r="N305" s="224" t="s">
        <v>15827</v>
      </c>
      <c r="O305" s="224" t="s">
        <v>16654</v>
      </c>
      <c r="P305" s="185" t="s">
        <v>12407</v>
      </c>
      <c r="Q305" s="225" t="s">
        <v>15829</v>
      </c>
      <c r="R305" s="182" t="str">
        <f ca="1">IF(ISERROR($V305),"",OFFSET('Smelter Look-up'!$C$4,$V305-4,0)&amp;"")</f>
        <v>Tokuriki Honten Co., Ltd.</v>
      </c>
      <c r="S305" s="181" t="str">
        <f t="shared" ca="1" si="41"/>
        <v>JP</v>
      </c>
      <c r="T305" s="181" t="str">
        <f ca="1">IF(B305="","",IF(ISERROR(MATCH($J305,SorP!$B$1:$B$6226,0)),"",INDIRECT("'SorP'!$A$"&amp;MATCH($S305&amp;$J305,SorP!C:C,0))))</f>
        <v>JP-11</v>
      </c>
      <c r="U305" s="201"/>
      <c r="V305" s="226">
        <f>IF(C305="",NA(),IF(OR(C305="Smelter not listed",C305="Smelter not yet identified"),MATCH($B305&amp;$D305,'Smelter Look-up'!$J:$J,0),MATCH($B305&amp;$C305,'Smelter Look-up'!$J:$J,0)))</f>
        <v>293</v>
      </c>
      <c r="X305" s="227">
        <f t="shared" si="42"/>
        <v>0</v>
      </c>
      <c r="AB305" s="228" t="str">
        <f t="shared" si="43"/>
        <v>GoldTokuriki Honten Co., Ltd.</v>
      </c>
    </row>
    <row r="306" spans="1:28" s="227" customFormat="1" ht="89.25">
      <c r="A306" s="181" t="s">
        <v>723</v>
      </c>
      <c r="B306" s="182" t="s">
        <v>1098</v>
      </c>
      <c r="C306" s="186" t="s">
        <v>12873</v>
      </c>
      <c r="D306" s="230" t="s">
        <v>12873</v>
      </c>
      <c r="E306" s="182" t="s">
        <v>1077</v>
      </c>
      <c r="F306" s="182" t="s">
        <v>723</v>
      </c>
      <c r="G306" s="182" t="s">
        <v>13177</v>
      </c>
      <c r="H306" s="183" t="s">
        <v>16655</v>
      </c>
      <c r="I306" s="184" t="s">
        <v>12886</v>
      </c>
      <c r="J306" s="184" t="s">
        <v>6574</v>
      </c>
      <c r="K306" s="224" t="s">
        <v>16656</v>
      </c>
      <c r="L306" s="224" t="s">
        <v>16657</v>
      </c>
      <c r="M306" s="224" t="s">
        <v>15826</v>
      </c>
      <c r="N306" s="224" t="s">
        <v>15827</v>
      </c>
      <c r="O306" s="224" t="s">
        <v>16658</v>
      </c>
      <c r="P306" s="185" t="s">
        <v>12407</v>
      </c>
      <c r="Q306" s="225" t="s">
        <v>15829</v>
      </c>
      <c r="R306" s="182" t="str">
        <f ca="1">IF(ISERROR($V306),"",OFFSET('Smelter Look-up'!$C$4,$V306-4,0)&amp;"")</f>
        <v>Yamakin Co., Ltd.</v>
      </c>
      <c r="S306" s="181" t="str">
        <f t="shared" ca="1" si="41"/>
        <v>JP</v>
      </c>
      <c r="T306" s="181" t="str">
        <f ca="1">IF(B306="","",IF(ISERROR(MATCH($J306,SorP!$B$1:$B$6226,0)),"",INDIRECT("'SorP'!$A$"&amp;MATCH($S306&amp;$J306,SorP!C:C,0))))</f>
        <v>JP-39</v>
      </c>
      <c r="U306" s="201"/>
      <c r="V306" s="226">
        <f>IF(C306="",NA(),IF(OR(C306="Smelter not listed",C306="Smelter not yet identified"),MATCH($B306&amp;$D306,'Smelter Look-up'!$J:$J,0),MATCH($B306&amp;$C306,'Smelter Look-up'!$J:$J,0)))</f>
        <v>310</v>
      </c>
      <c r="X306" s="227">
        <f t="shared" si="42"/>
        <v>0</v>
      </c>
      <c r="AB306" s="228" t="str">
        <f t="shared" si="43"/>
        <v>GoldYamakin Co., Ltd.</v>
      </c>
    </row>
    <row r="307" spans="1:28" s="227" customFormat="1" ht="102">
      <c r="A307" s="181" t="s">
        <v>724</v>
      </c>
      <c r="B307" s="182" t="s">
        <v>1098</v>
      </c>
      <c r="C307" s="186" t="s">
        <v>2119</v>
      </c>
      <c r="D307" s="230" t="s">
        <v>2119</v>
      </c>
      <c r="E307" s="182" t="s">
        <v>1077</v>
      </c>
      <c r="F307" s="182" t="s">
        <v>724</v>
      </c>
      <c r="G307" s="182" t="s">
        <v>13177</v>
      </c>
      <c r="H307" s="183"/>
      <c r="I307" s="184" t="s">
        <v>1651</v>
      </c>
      <c r="J307" s="184" t="s">
        <v>1630</v>
      </c>
      <c r="K307" s="224" t="s">
        <v>16659</v>
      </c>
      <c r="L307" s="224" t="s">
        <v>16660</v>
      </c>
      <c r="M307" s="224" t="s">
        <v>15826</v>
      </c>
      <c r="N307" s="224" t="s">
        <v>15827</v>
      </c>
      <c r="O307" s="224" t="s">
        <v>16661</v>
      </c>
      <c r="P307" s="185" t="s">
        <v>12407</v>
      </c>
      <c r="Q307" s="225" t="s">
        <v>15829</v>
      </c>
      <c r="R307" s="182" t="str">
        <f ca="1">IF(ISERROR($V307),"",OFFSET('Smelter Look-up'!$C$4,$V307-4,0)&amp;"")</f>
        <v>Yokohama Metal Co., Ltd.</v>
      </c>
      <c r="S307" s="181" t="str">
        <f t="shared" ca="1" si="41"/>
        <v>JP</v>
      </c>
      <c r="T307" s="181" t="str">
        <f ca="1">IF(B307="","",IF(ISERROR(MATCH($J307,SorP!$B$1:$B$6226,0)),"",INDIRECT("'SorP'!$A$"&amp;MATCH($S307&amp;$J307,SorP!C:C,0))))</f>
        <v>JP-14</v>
      </c>
      <c r="U307" s="201"/>
      <c r="V307" s="226">
        <f>IF(C307="",NA(),IF(OR(C307="Smelter not listed",C307="Smelter not yet identified"),MATCH($B307&amp;$D307,'Smelter Look-up'!$J:$J,0),MATCH($B307&amp;$C307,'Smelter Look-up'!$J:$J,0)))</f>
        <v>316</v>
      </c>
      <c r="X307" s="227">
        <f t="shared" si="42"/>
        <v>0</v>
      </c>
      <c r="AB307" s="228" t="str">
        <f t="shared" si="43"/>
        <v>GoldYokohama Metal Co., Ltd.</v>
      </c>
    </row>
    <row r="308" spans="1:28" s="227" customFormat="1" ht="63.75">
      <c r="A308" s="181" t="s">
        <v>1385</v>
      </c>
      <c r="B308" s="182" t="s">
        <v>1100</v>
      </c>
      <c r="C308" s="186" t="s">
        <v>14947</v>
      </c>
      <c r="D308" s="230" t="s">
        <v>14947</v>
      </c>
      <c r="E308" s="182" t="s">
        <v>1077</v>
      </c>
      <c r="F308" s="182" t="s">
        <v>1385</v>
      </c>
      <c r="G308" s="182" t="s">
        <v>13177</v>
      </c>
      <c r="H308" s="183" t="s">
        <v>16662</v>
      </c>
      <c r="I308" s="184" t="s">
        <v>15621</v>
      </c>
      <c r="J308" s="184" t="s">
        <v>1712</v>
      </c>
      <c r="K308" s="224" t="s">
        <v>16342</v>
      </c>
      <c r="L308" s="224" t="s">
        <v>16343</v>
      </c>
      <c r="M308" s="224" t="s">
        <v>15833</v>
      </c>
      <c r="N308" s="224" t="s">
        <v>15827</v>
      </c>
      <c r="O308" s="224" t="s">
        <v>16663</v>
      </c>
      <c r="P308" s="185" t="s">
        <v>12407</v>
      </c>
      <c r="Q308" s="225" t="s">
        <v>15829</v>
      </c>
      <c r="R308" s="182" t="str">
        <f ca="1">IF(ISERROR($V308),"",OFFSET('Smelter Look-up'!$C$4,$V308-4,0)&amp;"")</f>
        <v>TANIOBIS Japan Co., Ltd.</v>
      </c>
      <c r="S308" s="181" t="str">
        <f t="shared" ca="1" si="41"/>
        <v>JP</v>
      </c>
      <c r="T308" s="181" t="str">
        <f ca="1">IF(B308="","",IF(ISERROR(MATCH($J308,SorP!$B$1:$B$6226,0)),"",INDIRECT("'SorP'!$A$"&amp;MATCH($S308&amp;$J308,SorP!C:C,0))))</f>
        <v>JP-08</v>
      </c>
      <c r="U308" s="201"/>
      <c r="V308" s="226">
        <f>IF(C308="",NA(),IF(OR(C308="Smelter not listed",C308="Smelter not yet identified"),MATCH($B308&amp;$D308,'Smelter Look-up'!$J:$J,0),MATCH($B308&amp;$C308,'Smelter Look-up'!$J:$J,0)))</f>
        <v>386</v>
      </c>
      <c r="X308" s="227">
        <f t="shared" si="42"/>
        <v>0</v>
      </c>
      <c r="AB308" s="228" t="str">
        <f t="shared" si="43"/>
        <v>TantalumTANIOBIS Japan Co., Ltd.</v>
      </c>
    </row>
    <row r="309" spans="1:28" s="227" customFormat="1" ht="140.25">
      <c r="A309" s="181" t="s">
        <v>1376</v>
      </c>
      <c r="B309" s="182" t="s">
        <v>1100</v>
      </c>
      <c r="C309" s="186" t="s">
        <v>1375</v>
      </c>
      <c r="D309" s="230" t="s">
        <v>1375</v>
      </c>
      <c r="E309" s="182" t="s">
        <v>1077</v>
      </c>
      <c r="F309" s="182" t="s">
        <v>1376</v>
      </c>
      <c r="G309" s="182" t="s">
        <v>13177</v>
      </c>
      <c r="H309" s="183" t="s">
        <v>16664</v>
      </c>
      <c r="I309" s="184" t="s">
        <v>1714</v>
      </c>
      <c r="J309" s="184" t="s">
        <v>1521</v>
      </c>
      <c r="K309" s="224" t="s">
        <v>16665</v>
      </c>
      <c r="L309" s="224" t="s">
        <v>16666</v>
      </c>
      <c r="M309" s="224" t="s">
        <v>15886</v>
      </c>
      <c r="N309" s="224" t="s">
        <v>15827</v>
      </c>
      <c r="O309" s="224" t="s">
        <v>16314</v>
      </c>
      <c r="P309" s="185" t="s">
        <v>12407</v>
      </c>
      <c r="Q309" s="225" t="s">
        <v>15829</v>
      </c>
      <c r="R309" s="182" t="str">
        <f ca="1">IF(ISERROR($V309),"",OFFSET('Smelter Look-up'!$C$4,$V309-4,0)&amp;"")</f>
        <v>Global Advanced Metals Aizu</v>
      </c>
      <c r="S309" s="181" t="str">
        <f t="shared" ca="1" si="41"/>
        <v>JP</v>
      </c>
      <c r="T309" s="181" t="str">
        <f ca="1">IF(B309="","",IF(ISERROR(MATCH($J309,SorP!$B$1:$B$6226,0)),"",INDIRECT("'SorP'!$A$"&amp;MATCH($S309&amp;$J309,SorP!C:C,0))))</f>
        <v>JP-07</v>
      </c>
      <c r="U309" s="201"/>
      <c r="V309" s="226">
        <f>IF(C309="",NA(),IF(OR(C309="Smelter not listed",C309="Smelter not yet identified"),MATCH($B309&amp;$D309,'Smelter Look-up'!$J:$J,0),MATCH($B309&amp;$C309,'Smelter Look-up'!$J:$J,0)))</f>
        <v>339</v>
      </c>
      <c r="X309" s="227">
        <f t="shared" si="42"/>
        <v>0</v>
      </c>
      <c r="AB309" s="228" t="str">
        <f t="shared" si="43"/>
        <v>TantalumGlobal Advanced Metals Aizu</v>
      </c>
    </row>
    <row r="310" spans="1:28" s="227" customFormat="1" ht="38.25">
      <c r="A310" s="181" t="s">
        <v>13768</v>
      </c>
      <c r="B310" s="182" t="s">
        <v>1098</v>
      </c>
      <c r="C310" s="186" t="s">
        <v>13748</v>
      </c>
      <c r="D310" s="230" t="s">
        <v>13748</v>
      </c>
      <c r="E310" s="182" t="s">
        <v>1077</v>
      </c>
      <c r="F310" s="182" t="s">
        <v>13768</v>
      </c>
      <c r="G310" s="182" t="s">
        <v>13177</v>
      </c>
      <c r="H310" s="183" t="s">
        <v>16667</v>
      </c>
      <c r="I310" s="184" t="s">
        <v>13782</v>
      </c>
      <c r="J310" s="184" t="s">
        <v>1542</v>
      </c>
      <c r="K310" s="224" t="s">
        <v>16668</v>
      </c>
      <c r="L310" s="224" t="s">
        <v>16669</v>
      </c>
      <c r="M310" s="224" t="s">
        <v>15875</v>
      </c>
      <c r="N310" s="224" t="s">
        <v>15917</v>
      </c>
      <c r="O310" s="224" t="s">
        <v>16670</v>
      </c>
      <c r="P310" s="185" t="s">
        <v>475</v>
      </c>
      <c r="Q310" s="225" t="s">
        <v>15829</v>
      </c>
      <c r="R310" s="182" t="str">
        <f ca="1">IF(ISERROR($V310),"",OFFSET('Smelter Look-up'!$C$4,$V310-4,0)&amp;"")</f>
        <v>Eco-System Recycling Co., Ltd. North Plant</v>
      </c>
      <c r="S310" s="181" t="str">
        <f t="shared" ca="1" si="41"/>
        <v>JP</v>
      </c>
      <c r="T310" s="181" t="str">
        <f ca="1">IF(B310="","",IF(ISERROR(MATCH($J310,SorP!$B$1:$B$6226,0)),"",INDIRECT("'SorP'!$A$"&amp;MATCH($S310&amp;$J310,SorP!C:C,0))))</f>
        <v>JP-05</v>
      </c>
      <c r="U310" s="201"/>
      <c r="V310" s="226">
        <f>IF(C310="",NA(),IF(OR(C310="Smelter not listed",C310="Smelter not yet identified"),MATCH($B310&amp;$D310,'Smelter Look-up'!$J:$J,0),MATCH($B310&amp;$C310,'Smelter Look-up'!$J:$J,0)))</f>
        <v>74</v>
      </c>
      <c r="X310" s="227">
        <f t="shared" si="42"/>
        <v>0</v>
      </c>
      <c r="AB310" s="228" t="str">
        <f t="shared" si="43"/>
        <v>GoldEco-System Recycling Co., Ltd. North Plant</v>
      </c>
    </row>
    <row r="311" spans="1:28" s="227" customFormat="1" ht="51">
      <c r="A311" s="181" t="s">
        <v>13769</v>
      </c>
      <c r="B311" s="182" t="s">
        <v>1098</v>
      </c>
      <c r="C311" s="186" t="s">
        <v>13749</v>
      </c>
      <c r="D311" s="230" t="s">
        <v>13749</v>
      </c>
      <c r="E311" s="182" t="s">
        <v>1077</v>
      </c>
      <c r="F311" s="182" t="s">
        <v>13769</v>
      </c>
      <c r="G311" s="182" t="s">
        <v>13177</v>
      </c>
      <c r="H311" s="183" t="s">
        <v>16671</v>
      </c>
      <c r="I311" s="184" t="s">
        <v>6634</v>
      </c>
      <c r="J311" s="184" t="s">
        <v>6634</v>
      </c>
      <c r="K311" s="224" t="s">
        <v>16668</v>
      </c>
      <c r="L311" s="224" t="s">
        <v>16669</v>
      </c>
      <c r="M311" s="224" t="s">
        <v>15875</v>
      </c>
      <c r="N311" s="224" t="s">
        <v>15827</v>
      </c>
      <c r="O311" s="224" t="s">
        <v>16670</v>
      </c>
      <c r="P311" s="185" t="s">
        <v>15949</v>
      </c>
      <c r="Q311" s="225" t="s">
        <v>15829</v>
      </c>
      <c r="R311" s="182" t="str">
        <f ca="1">IF(ISERROR($V311),"",OFFSET('Smelter Look-up'!$C$4,$V311-4,0)&amp;"")</f>
        <v>Eco-System Recycling Co., Ltd. West Plant</v>
      </c>
      <c r="S311" s="181" t="str">
        <f t="shared" ca="1" si="41"/>
        <v>JP</v>
      </c>
      <c r="T311" s="181" t="str">
        <f ca="1">IF(B311="","",IF(ISERROR(MATCH($J311,SorP!$B$1:$B$6226,0)),"",INDIRECT("'SorP'!$A$"&amp;MATCH($S311&amp;$J311,SorP!C:C,0))))</f>
        <v>JP-33</v>
      </c>
      <c r="U311" s="201"/>
      <c r="V311" s="226">
        <f>IF(C311="",NA(),IF(OR(C311="Smelter not listed",C311="Smelter not yet identified"),MATCH($B311&amp;$D311,'Smelter Look-up'!$J:$J,0),MATCH($B311&amp;$C311,'Smelter Look-up'!$J:$J,0)))</f>
        <v>75</v>
      </c>
      <c r="X311" s="227">
        <f t="shared" si="42"/>
        <v>0</v>
      </c>
      <c r="AB311" s="228" t="str">
        <f t="shared" si="43"/>
        <v>GoldEco-System Recycling Co., Ltd. West Plant</v>
      </c>
    </row>
    <row r="312" spans="1:28" s="227" customFormat="1" ht="38.25">
      <c r="A312" s="181" t="s">
        <v>15639</v>
      </c>
      <c r="B312" s="182" t="s">
        <v>1099</v>
      </c>
      <c r="C312" s="186" t="s">
        <v>15638</v>
      </c>
      <c r="D312" s="230" t="s">
        <v>15638</v>
      </c>
      <c r="E312" s="182" t="s">
        <v>1077</v>
      </c>
      <c r="F312" s="182" t="s">
        <v>15639</v>
      </c>
      <c r="G312" s="182" t="s">
        <v>13177</v>
      </c>
      <c r="H312" s="183"/>
      <c r="I312" s="184" t="s">
        <v>1593</v>
      </c>
      <c r="J312" s="184" t="s">
        <v>6659</v>
      </c>
      <c r="K312" s="224" t="s">
        <v>16672</v>
      </c>
      <c r="L312" s="224" t="s">
        <v>16673</v>
      </c>
      <c r="M312" s="224" t="s">
        <v>15875</v>
      </c>
      <c r="N312" s="224" t="s">
        <v>15827</v>
      </c>
      <c r="O312" s="224" t="s">
        <v>16674</v>
      </c>
      <c r="P312" s="185" t="s">
        <v>12407</v>
      </c>
      <c r="Q312" s="225" t="s">
        <v>15829</v>
      </c>
      <c r="R312" s="182" t="str">
        <f ca="1">IF(ISERROR($V312),"",OFFSET('Smelter Look-up'!$C$4,$V312-4,0)&amp;"")</f>
        <v>Takehara PVD Materials Plant / PVD Materials Division of MITSUI MINING &amp; SMELTING CO., LTD.</v>
      </c>
      <c r="S312" s="181" t="str">
        <f t="shared" ca="1" si="41"/>
        <v>JP</v>
      </c>
      <c r="T312" s="181" t="str">
        <f ca="1">IF(B312="","",IF(ISERROR(MATCH($J312,SorP!$B$1:$B$6226,0)),"",INDIRECT("'SorP'!$A$"&amp;MATCH($S312&amp;$J312,SorP!C:C,0))))</f>
        <v>JP-34</v>
      </c>
      <c r="U312" s="201"/>
      <c r="V312" s="226">
        <f>IF(C312="",NA(),IF(OR(C312="Smelter not listed",C312="Smelter not yet identified"),MATCH($B312&amp;$D312,'Smelter Look-up'!$J:$J,0),MATCH($B312&amp;$C312,'Smelter Look-up'!$J:$J,0)))</f>
        <v>518</v>
      </c>
      <c r="X312" s="227">
        <f t="shared" si="42"/>
        <v>0</v>
      </c>
      <c r="AB312" s="228" t="str">
        <f t="shared" si="43"/>
        <v>TinTakehara PVD Materials Plant / PVD Materials Division of MITSUI MINING &amp; SMELTING CO., LTD.</v>
      </c>
    </row>
    <row r="313" spans="1:28" s="227" customFormat="1" ht="20.25">
      <c r="A313" s="181" t="s">
        <v>16675</v>
      </c>
      <c r="B313" s="182" t="s">
        <v>1099</v>
      </c>
      <c r="C313" s="186" t="s">
        <v>16676</v>
      </c>
      <c r="D313" s="230" t="s">
        <v>16676</v>
      </c>
      <c r="E313" s="182" t="s">
        <v>1077</v>
      </c>
      <c r="F313" s="182" t="s">
        <v>16675</v>
      </c>
      <c r="G313" s="182" t="s">
        <v>13177</v>
      </c>
      <c r="H313" s="183" t="s">
        <v>15840</v>
      </c>
      <c r="I313" s="184" t="s">
        <v>15840</v>
      </c>
      <c r="J313" s="184" t="s">
        <v>15840</v>
      </c>
      <c r="K313" s="224"/>
      <c r="L313" s="224"/>
      <c r="M313" s="224"/>
      <c r="N313" s="224"/>
      <c r="O313" s="224"/>
      <c r="P313" s="185"/>
      <c r="Q313" s="225"/>
      <c r="R313" s="182" t="str">
        <f ca="1">IF(ISERROR($V313),"",OFFSET('Smelter Look-up'!$C$4,$V313-4,0)&amp;"")</f>
        <v/>
      </c>
      <c r="S313" s="181" t="str">
        <f t="shared" ca="1" si="41"/>
        <v>JP</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si="42"/>
        <v>0</v>
      </c>
      <c r="AB313" s="228" t="str">
        <f t="shared" si="43"/>
        <v>TinMaterials Eco-Refining Co., Ltd.</v>
      </c>
    </row>
    <row r="314" spans="1:28" s="227" customFormat="1" ht="25.5">
      <c r="A314" s="181" t="s">
        <v>16677</v>
      </c>
      <c r="B314" s="182" t="s">
        <v>1101</v>
      </c>
      <c r="C314" s="186" t="s">
        <v>1805</v>
      </c>
      <c r="D314" s="230" t="s">
        <v>1196</v>
      </c>
      <c r="E314" s="182" t="s">
        <v>1077</v>
      </c>
      <c r="F314" s="182" t="s">
        <v>16677</v>
      </c>
      <c r="G314" s="182" t="s">
        <v>13177</v>
      </c>
      <c r="H314" s="183" t="s">
        <v>15840</v>
      </c>
      <c r="I314" s="184" t="s">
        <v>15840</v>
      </c>
      <c r="J314" s="184" t="s">
        <v>15840</v>
      </c>
      <c r="K314" s="224"/>
      <c r="L314" s="224"/>
      <c r="M314" s="224"/>
      <c r="N314" s="224"/>
      <c r="O314" s="224"/>
      <c r="P314" s="185"/>
      <c r="Q314" s="225"/>
      <c r="R314" s="182" t="str">
        <f ca="1">IF(ISERROR($V314),"",OFFSET('Smelter Look-up'!$C$4,$V314-4,0)&amp;"")</f>
        <v/>
      </c>
      <c r="S314" s="181" t="str">
        <f t="shared" ca="1" si="41"/>
        <v>JP</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si="42"/>
        <v>0</v>
      </c>
      <c r="AB314" s="228" t="str">
        <f t="shared" si="43"/>
        <v>TungstenSmelter not listed</v>
      </c>
    </row>
    <row r="315" spans="1:28" s="227" customFormat="1" ht="20.25">
      <c r="A315" s="181" t="s">
        <v>16678</v>
      </c>
      <c r="B315" s="182" t="s">
        <v>1101</v>
      </c>
      <c r="C315" s="186" t="s">
        <v>1805</v>
      </c>
      <c r="D315" s="230" t="s">
        <v>54</v>
      </c>
      <c r="E315" s="182" t="s">
        <v>1077</v>
      </c>
      <c r="F315" s="182" t="s">
        <v>16678</v>
      </c>
      <c r="G315" s="182" t="s">
        <v>13177</v>
      </c>
      <c r="H315" s="183" t="s">
        <v>15840</v>
      </c>
      <c r="I315" s="184" t="s">
        <v>15840</v>
      </c>
      <c r="J315" s="184" t="s">
        <v>15840</v>
      </c>
      <c r="K315" s="224"/>
      <c r="L315" s="224"/>
      <c r="M315" s="224"/>
      <c r="N315" s="224"/>
      <c r="O315" s="224"/>
      <c r="P315" s="185"/>
      <c r="Q315" s="225"/>
      <c r="R315" s="182" t="str">
        <f ca="1">IF(ISERROR($V315),"",OFFSET('Smelter Look-up'!$C$4,$V315-4,0)&amp;"")</f>
        <v/>
      </c>
      <c r="S315" s="181" t="str">
        <f t="shared" ca="1" si="41"/>
        <v>JP</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si="42"/>
        <v>0</v>
      </c>
      <c r="AB315" s="228" t="str">
        <f t="shared" si="43"/>
        <v>TungstenSmelter not listed</v>
      </c>
    </row>
    <row r="316" spans="1:28" s="227" customFormat="1" ht="76.5">
      <c r="A316" s="181" t="s">
        <v>674</v>
      </c>
      <c r="B316" s="182" t="s">
        <v>1098</v>
      </c>
      <c r="C316" s="186" t="s">
        <v>1571</v>
      </c>
      <c r="D316" s="230" t="s">
        <v>1571</v>
      </c>
      <c r="E316" s="182" t="s">
        <v>1078</v>
      </c>
      <c r="F316" s="182" t="s">
        <v>674</v>
      </c>
      <c r="G316" s="182" t="s">
        <v>13177</v>
      </c>
      <c r="H316" s="183" t="s">
        <v>16679</v>
      </c>
      <c r="I316" s="184" t="s">
        <v>1572</v>
      </c>
      <c r="J316" s="184" t="s">
        <v>7005</v>
      </c>
      <c r="K316" s="224" t="s">
        <v>15840</v>
      </c>
      <c r="L316" s="224" t="s">
        <v>16680</v>
      </c>
      <c r="M316" s="224" t="s">
        <v>15869</v>
      </c>
      <c r="N316" s="224" t="s">
        <v>15827</v>
      </c>
      <c r="O316" s="224" t="s">
        <v>16681</v>
      </c>
      <c r="P316" s="185" t="s">
        <v>12407</v>
      </c>
      <c r="Q316" s="225" t="s">
        <v>15829</v>
      </c>
      <c r="R316" s="182" t="str">
        <f ca="1">IF(ISERROR($V316),"",OFFSET('Smelter Look-up'!$C$4,$V316-4,0)&amp;"")</f>
        <v>Kazzinc</v>
      </c>
      <c r="S316" s="181" t="str">
        <f t="shared" ca="1" si="41"/>
        <v>KZ</v>
      </c>
      <c r="T316" s="181" t="str">
        <f ca="1">IF(B316="","",IF(ISERROR(MATCH($J316,SorP!$B$1:$B$6226,0)),"",INDIRECT("'SorP'!$A$"&amp;MATCH($S316&amp;$J316,SorP!C:C,0))))</f>
        <v>KZ-KAR</v>
      </c>
      <c r="U316" s="201"/>
      <c r="V316" s="226">
        <f>IF(C316="",NA(),IF(OR(C316="Smelter not listed",C316="Smelter not yet identified"),MATCH($B316&amp;$D316,'Smelter Look-up'!$J:$J,0),MATCH($B316&amp;$C316,'Smelter Look-up'!$J:$J,0)))</f>
        <v>141</v>
      </c>
      <c r="X316" s="227">
        <f t="shared" si="42"/>
        <v>0</v>
      </c>
      <c r="AB316" s="228" t="str">
        <f t="shared" si="43"/>
        <v>GoldKazzinc</v>
      </c>
    </row>
    <row r="317" spans="1:28" s="227" customFormat="1" ht="140.25">
      <c r="A317" s="181" t="s">
        <v>743</v>
      </c>
      <c r="B317" s="182" t="s">
        <v>1100</v>
      </c>
      <c r="C317" s="186" t="s">
        <v>1700</v>
      </c>
      <c r="D317" s="230" t="s">
        <v>1700</v>
      </c>
      <c r="E317" s="182" t="s">
        <v>1078</v>
      </c>
      <c r="F317" s="182" t="s">
        <v>743</v>
      </c>
      <c r="G317" s="182" t="s">
        <v>13177</v>
      </c>
      <c r="H317" s="183" t="s">
        <v>16682</v>
      </c>
      <c r="I317" s="184" t="s">
        <v>1572</v>
      </c>
      <c r="J317" s="184" t="s">
        <v>7005</v>
      </c>
      <c r="K317" s="224" t="s">
        <v>16683</v>
      </c>
      <c r="L317" s="224" t="s">
        <v>16684</v>
      </c>
      <c r="M317" s="224" t="s">
        <v>15886</v>
      </c>
      <c r="N317" s="224" t="s">
        <v>16685</v>
      </c>
      <c r="O317" s="224" t="s">
        <v>16686</v>
      </c>
      <c r="P317" s="185" t="s">
        <v>476</v>
      </c>
      <c r="Q317" s="225" t="s">
        <v>15829</v>
      </c>
      <c r="R317" s="182" t="str">
        <f ca="1">IF(ISERROR($V317),"",OFFSET('Smelter Look-up'!$C$4,$V317-4,0)&amp;"")</f>
        <v>Ulba Metallurgical Plant JSC</v>
      </c>
      <c r="S317" s="181" t="str">
        <f t="shared" ca="1" si="41"/>
        <v>KZ</v>
      </c>
      <c r="T317" s="181" t="str">
        <f ca="1">IF(B317="","",IF(ISERROR(MATCH($J317,SorP!$B$1:$B$6226,0)),"",INDIRECT("'SorP'!$A$"&amp;MATCH($S317&amp;$J317,SorP!C:C,0))))</f>
        <v>KZ-KAR</v>
      </c>
      <c r="U317" s="201"/>
      <c r="V317" s="226">
        <f>IF(C317="",NA(),IF(OR(C317="Smelter not listed",C317="Smelter not yet identified"),MATCH($B317&amp;$D317,'Smelter Look-up'!$J:$J,0),MATCH($B317&amp;$C317,'Smelter Look-up'!$J:$J,0)))</f>
        <v>390</v>
      </c>
      <c r="X317" s="227">
        <f t="shared" si="42"/>
        <v>0</v>
      </c>
      <c r="AB317" s="228" t="str">
        <f t="shared" si="43"/>
        <v>TantalumUlba Metallurgical Plant JSC</v>
      </c>
    </row>
    <row r="318" spans="1:28" s="227" customFormat="1" ht="51">
      <c r="A318" s="181" t="s">
        <v>2280</v>
      </c>
      <c r="B318" s="182" t="s">
        <v>1098</v>
      </c>
      <c r="C318" s="186" t="s">
        <v>2279</v>
      </c>
      <c r="D318" s="230" t="s">
        <v>2279</v>
      </c>
      <c r="E318" s="182" t="s">
        <v>1078</v>
      </c>
      <c r="F318" s="182" t="s">
        <v>2280</v>
      </c>
      <c r="G318" s="182" t="s">
        <v>13177</v>
      </c>
      <c r="H318" s="183" t="s">
        <v>16687</v>
      </c>
      <c r="I318" s="184" t="s">
        <v>2281</v>
      </c>
      <c r="J318" s="184" t="s">
        <v>2282</v>
      </c>
      <c r="K318" s="224" t="s">
        <v>16688</v>
      </c>
      <c r="L318" s="224" t="s">
        <v>16689</v>
      </c>
      <c r="M318" s="224" t="s">
        <v>15833</v>
      </c>
      <c r="N318" s="224" t="s">
        <v>15827</v>
      </c>
      <c r="O318" s="224" t="s">
        <v>16690</v>
      </c>
      <c r="P318" s="185" t="s">
        <v>12407</v>
      </c>
      <c r="Q318" s="225" t="s">
        <v>15829</v>
      </c>
      <c r="R318" s="182" t="str">
        <f ca="1">IF(ISERROR($V318),"",OFFSET('Smelter Look-up'!$C$4,$V318-4,0)&amp;"")</f>
        <v>TOO Tau-Ken-Altyn</v>
      </c>
      <c r="S318" s="181" t="str">
        <f t="shared" ca="1" si="41"/>
        <v>KZ</v>
      </c>
      <c r="T318" s="181" t="str">
        <f ca="1">IF(B318="","",IF(ISERROR(MATCH($J318,SorP!$B$1:$B$6226,0)),"",INDIRECT("'SorP'!$A$"&amp;MATCH($S318&amp;$J318,SorP!C:C,0))))</f>
        <v>KZ-ALA</v>
      </c>
      <c r="U318" s="201"/>
      <c r="V318" s="226">
        <f>IF(C318="",NA(),IF(OR(C318="Smelter not listed",C318="Smelter not yet identified"),MATCH($B318&amp;$D318,'Smelter Look-up'!$J:$J,0),MATCH($B318&amp;$C318,'Smelter Look-up'!$J:$J,0)))</f>
        <v>297</v>
      </c>
      <c r="X318" s="227">
        <f t="shared" si="42"/>
        <v>0</v>
      </c>
      <c r="AB318" s="228" t="str">
        <f t="shared" si="43"/>
        <v>GoldTOO Tau-Ken-Altyn</v>
      </c>
    </row>
    <row r="319" spans="1:28" s="227" customFormat="1" ht="25.5">
      <c r="A319" s="181" t="s">
        <v>2148</v>
      </c>
      <c r="B319" s="182" t="s">
        <v>1098</v>
      </c>
      <c r="C319" s="186" t="s">
        <v>2147</v>
      </c>
      <c r="D319" s="230" t="s">
        <v>2147</v>
      </c>
      <c r="E319" s="182" t="s">
        <v>1078</v>
      </c>
      <c r="F319" s="182" t="s">
        <v>2148</v>
      </c>
      <c r="G319" s="182" t="s">
        <v>13177</v>
      </c>
      <c r="H319" s="183"/>
      <c r="I319" s="184" t="s">
        <v>2149</v>
      </c>
      <c r="J319" s="184" t="s">
        <v>7005</v>
      </c>
      <c r="K319" s="224"/>
      <c r="L319" s="224"/>
      <c r="M319" s="224"/>
      <c r="N319" s="224"/>
      <c r="O319" s="224" t="s">
        <v>16691</v>
      </c>
      <c r="P319" s="185"/>
      <c r="Q319" s="225"/>
      <c r="R319" s="182" t="str">
        <f ca="1">IF(ISERROR($V319),"",OFFSET('Smelter Look-up'!$C$4,$V319-4,0)&amp;"")</f>
        <v>Kazakhmys Smelting LLC</v>
      </c>
      <c r="S319" s="181" t="str">
        <f t="shared" ca="1" si="41"/>
        <v>KZ</v>
      </c>
      <c r="T319" s="181" t="str">
        <f ca="1">IF(B319="","",IF(ISERROR(MATCH($J319,SorP!$B$1:$B$6226,0)),"",INDIRECT("'SorP'!$A$"&amp;MATCH($S319&amp;$J319,SorP!C:C,0))))</f>
        <v>KZ-KAR</v>
      </c>
      <c r="U319" s="201"/>
      <c r="V319" s="226">
        <f>IF(C319="",NA(),IF(OR(C319="Smelter not listed",C319="Smelter not yet identified"),MATCH($B319&amp;$D319,'Smelter Look-up'!$J:$J,0),MATCH($B319&amp;$C319,'Smelter Look-up'!$J:$J,0)))</f>
        <v>140</v>
      </c>
      <c r="X319" s="227">
        <f t="shared" si="42"/>
        <v>0</v>
      </c>
      <c r="AB319" s="228" t="str">
        <f t="shared" si="43"/>
        <v>GoldKazakhmys Smelting LLC</v>
      </c>
    </row>
    <row r="320" spans="1:28" s="227" customFormat="1" ht="51">
      <c r="A320" s="181" t="s">
        <v>653</v>
      </c>
      <c r="B320" s="182" t="s">
        <v>1098</v>
      </c>
      <c r="C320" s="186" t="s">
        <v>2208</v>
      </c>
      <c r="D320" s="230" t="s">
        <v>2208</v>
      </c>
      <c r="E320" s="182" t="s">
        <v>1080</v>
      </c>
      <c r="F320" s="182" t="s">
        <v>653</v>
      </c>
      <c r="G320" s="182" t="s">
        <v>13177</v>
      </c>
      <c r="H320" s="183"/>
      <c r="I320" s="184" t="s">
        <v>1540</v>
      </c>
      <c r="J320" s="184" t="s">
        <v>12818</v>
      </c>
      <c r="K320" s="224" t="s">
        <v>16692</v>
      </c>
      <c r="L320" s="224" t="s">
        <v>16693</v>
      </c>
      <c r="M320" s="224" t="s">
        <v>15875</v>
      </c>
      <c r="N320" s="224" t="s">
        <v>15827</v>
      </c>
      <c r="O320" s="224" t="s">
        <v>16694</v>
      </c>
      <c r="P320" s="185" t="s">
        <v>15949</v>
      </c>
      <c r="Q320" s="225" t="s">
        <v>15829</v>
      </c>
      <c r="R320" s="182" t="str">
        <f ca="1">IF(ISERROR($V320),"",OFFSET('Smelter Look-up'!$C$4,$V320-4,0)&amp;"")</f>
        <v>DSC (Do Sung Corporation)</v>
      </c>
      <c r="S320" s="181" t="str">
        <f t="shared" ca="1" si="41"/>
        <v>KR</v>
      </c>
      <c r="T320" s="181" t="str">
        <f ca="1">IF(B320="","",IF(ISERROR(MATCH($J320,SorP!$B$1:$B$6226,0)),"",INDIRECT("'SorP'!$A$"&amp;MATCH($S320&amp;$J320,SorP!C:C,0))))</f>
        <v>KR-41</v>
      </c>
      <c r="U320" s="201"/>
      <c r="V320" s="226">
        <f>IF(C320="",NA(),IF(OR(C320="Smelter not listed",C320="Smelter not yet identified"),MATCH($B320&amp;$D320,'Smelter Look-up'!$J:$J,0),MATCH($B320&amp;$C320,'Smelter Look-up'!$J:$J,0)))</f>
        <v>72</v>
      </c>
      <c r="X320" s="227">
        <f t="shared" si="42"/>
        <v>0</v>
      </c>
      <c r="AB320" s="228" t="str">
        <f t="shared" si="43"/>
        <v>GoldDSC (Do Sung Corporation)</v>
      </c>
    </row>
    <row r="321" spans="1:28" s="227" customFormat="1" ht="102">
      <c r="A321" s="181" t="s">
        <v>2450</v>
      </c>
      <c r="B321" s="182" t="s">
        <v>1098</v>
      </c>
      <c r="C321" s="186" t="s">
        <v>13752</v>
      </c>
      <c r="D321" s="230" t="s">
        <v>13752</v>
      </c>
      <c r="E321" s="182" t="s">
        <v>1080</v>
      </c>
      <c r="F321" s="182" t="s">
        <v>2450</v>
      </c>
      <c r="G321" s="182" t="s">
        <v>13177</v>
      </c>
      <c r="H321" s="183" t="s">
        <v>16695</v>
      </c>
      <c r="I321" s="184" t="s">
        <v>2451</v>
      </c>
      <c r="J321" s="184" t="s">
        <v>12813</v>
      </c>
      <c r="K321" s="224" t="s">
        <v>16696</v>
      </c>
      <c r="L321" s="224" t="s">
        <v>16697</v>
      </c>
      <c r="M321" s="224" t="s">
        <v>15833</v>
      </c>
      <c r="N321" s="224" t="s">
        <v>15827</v>
      </c>
      <c r="O321" s="224" t="s">
        <v>16698</v>
      </c>
      <c r="P321" s="185" t="s">
        <v>12407</v>
      </c>
      <c r="Q321" s="225" t="s">
        <v>15829</v>
      </c>
      <c r="R321" s="182" t="str">
        <f ca="1">IF(ISERROR($V321),"",OFFSET('Smelter Look-up'!$C$4,$V321-4,0)&amp;"")</f>
        <v>LT Metal Ltd.</v>
      </c>
      <c r="S321" s="181" t="str">
        <f t="shared" ca="1" si="41"/>
        <v>KR</v>
      </c>
      <c r="T321" s="181" t="str">
        <f ca="1">IF(B321="","",IF(ISERROR(MATCH($J321,SorP!$B$1:$B$6226,0)),"",INDIRECT("'SorP'!$A$"&amp;MATCH($S321&amp;$J321,SorP!C:C,0))))</f>
        <v>KR-28</v>
      </c>
      <c r="U321" s="201"/>
      <c r="V321" s="226">
        <f>IF(C321="",NA(),IF(OR(C321="Smelter not listed",C321="Smelter not yet identified"),MATCH($B321&amp;$D321,'Smelter Look-up'!$J:$J,0),MATCH($B321&amp;$C321,'Smelter Look-up'!$J:$J,0)))</f>
        <v>164</v>
      </c>
      <c r="X321" s="227">
        <f t="shared" si="42"/>
        <v>0</v>
      </c>
      <c r="AB321" s="228" t="str">
        <f t="shared" si="43"/>
        <v>GoldLT Metal Ltd.</v>
      </c>
    </row>
    <row r="322" spans="1:28" s="227" customFormat="1" ht="102">
      <c r="A322" s="181" t="s">
        <v>681</v>
      </c>
      <c r="B322" s="182" t="s">
        <v>1098</v>
      </c>
      <c r="C322" s="186" t="s">
        <v>15610</v>
      </c>
      <c r="D322" s="230" t="s">
        <v>15610</v>
      </c>
      <c r="E322" s="182" t="s">
        <v>1080</v>
      </c>
      <c r="F322" s="182" t="s">
        <v>681</v>
      </c>
      <c r="G322" s="182" t="s">
        <v>13177</v>
      </c>
      <c r="H322" s="183" t="s">
        <v>16699</v>
      </c>
      <c r="I322" s="184" t="s">
        <v>1579</v>
      </c>
      <c r="J322" s="184" t="s">
        <v>12814</v>
      </c>
      <c r="K322" s="224" t="s">
        <v>16700</v>
      </c>
      <c r="L322" s="224" t="s">
        <v>16701</v>
      </c>
      <c r="M322" s="224" t="s">
        <v>15869</v>
      </c>
      <c r="N322" s="224" t="s">
        <v>15827</v>
      </c>
      <c r="O322" s="224" t="s">
        <v>16702</v>
      </c>
      <c r="P322" s="185" t="s">
        <v>476</v>
      </c>
      <c r="Q322" s="225" t="s">
        <v>15829</v>
      </c>
      <c r="R322" s="182" t="str">
        <f ca="1">IF(ISERROR($V322),"",OFFSET('Smelter Look-up'!$C$4,$V322-4,0)&amp;"")</f>
        <v>LS MnM Inc.</v>
      </c>
      <c r="S322" s="181" t="str">
        <f t="shared" ca="1" si="41"/>
        <v>KR</v>
      </c>
      <c r="T322" s="181" t="str">
        <f ca="1">IF(B322="","",IF(ISERROR(MATCH($J322,SorP!$B$1:$B$6226,0)),"",INDIRECT("'SorP'!$A$"&amp;MATCH($S322&amp;$J322,SorP!C:C,0))))</f>
        <v>KR-31</v>
      </c>
      <c r="U322" s="201"/>
      <c r="V322" s="226">
        <f>IF(C322="",NA(),IF(OR(C322="Smelter not listed",C322="Smelter not yet identified"),MATCH($B322&amp;$D322,'Smelter Look-up'!$J:$J,0),MATCH($B322&amp;$C322,'Smelter Look-up'!$J:$J,0)))</f>
        <v>163</v>
      </c>
      <c r="X322" s="227">
        <f t="shared" si="42"/>
        <v>0</v>
      </c>
      <c r="AB322" s="228" t="str">
        <f t="shared" si="43"/>
        <v>GoldLS MnM Inc.</v>
      </c>
    </row>
    <row r="323" spans="1:28" s="227" customFormat="1" ht="102">
      <c r="A323" s="181" t="s">
        <v>1678</v>
      </c>
      <c r="B323" s="182" t="s">
        <v>1098</v>
      </c>
      <c r="C323" s="186" t="s">
        <v>2254</v>
      </c>
      <c r="D323" s="230" t="s">
        <v>2254</v>
      </c>
      <c r="E323" s="182" t="s">
        <v>1080</v>
      </c>
      <c r="F323" s="182" t="s">
        <v>1678</v>
      </c>
      <c r="G323" s="182" t="s">
        <v>13177</v>
      </c>
      <c r="H323" s="183" t="s">
        <v>16703</v>
      </c>
      <c r="I323" s="184" t="s">
        <v>15609</v>
      </c>
      <c r="J323" s="184" t="s">
        <v>12824</v>
      </c>
      <c r="K323" s="224" t="s">
        <v>16704</v>
      </c>
      <c r="L323" s="224" t="s">
        <v>16705</v>
      </c>
      <c r="M323" s="224" t="s">
        <v>15875</v>
      </c>
      <c r="N323" s="224"/>
      <c r="O323" s="224" t="s">
        <v>16706</v>
      </c>
      <c r="P323" s="185" t="s">
        <v>12407</v>
      </c>
      <c r="Q323" s="225" t="s">
        <v>15829</v>
      </c>
      <c r="R323" s="182" t="str">
        <f ca="1">IF(ISERROR($V323),"",OFFSET('Smelter Look-up'!$C$4,$V323-4,0)&amp;"")</f>
        <v>Korea Zinc Co., Ltd.</v>
      </c>
      <c r="S323" s="181" t="str">
        <f t="shared" ca="1" si="41"/>
        <v>KR</v>
      </c>
      <c r="T323" s="181" t="str">
        <f ca="1">IF(B323="","",IF(ISERROR(MATCH($J323,SorP!$B$1:$B$6226,0)),"",INDIRECT("'SorP'!$A$"&amp;MATCH($S323&amp;$J323,SorP!C:C,0))))</f>
        <v>KR-11</v>
      </c>
      <c r="U323" s="201"/>
      <c r="V323" s="226">
        <f>IF(C323="",NA(),IF(OR(C323="Smelter not listed",C323="Smelter not yet identified"),MATCH($B323&amp;$D323,'Smelter Look-up'!$J:$J,0),MATCH($B323&amp;$C323,'Smelter Look-up'!$J:$J,0)))</f>
        <v>150</v>
      </c>
      <c r="X323" s="227">
        <f t="shared" si="42"/>
        <v>0</v>
      </c>
      <c r="AB323" s="228" t="str">
        <f t="shared" si="43"/>
        <v>GoldKorea Zinc Co., Ltd.</v>
      </c>
    </row>
    <row r="324" spans="1:28" s="227" customFormat="1" ht="140.25">
      <c r="A324" s="181" t="s">
        <v>2404</v>
      </c>
      <c r="B324" s="182" t="s">
        <v>1098</v>
      </c>
      <c r="C324" s="186" t="s">
        <v>12872</v>
      </c>
      <c r="D324" s="230" t="s">
        <v>12872</v>
      </c>
      <c r="E324" s="182" t="s">
        <v>1080</v>
      </c>
      <c r="F324" s="182" t="s">
        <v>2404</v>
      </c>
      <c r="G324" s="182" t="s">
        <v>13177</v>
      </c>
      <c r="H324" s="183" t="s">
        <v>16707</v>
      </c>
      <c r="I324" s="184" t="s">
        <v>12885</v>
      </c>
      <c r="J324" s="184" t="s">
        <v>12821</v>
      </c>
      <c r="K324" s="224" t="s">
        <v>16708</v>
      </c>
      <c r="L324" s="224" t="s">
        <v>16709</v>
      </c>
      <c r="M324" s="224" t="s">
        <v>15875</v>
      </c>
      <c r="N324" s="224" t="s">
        <v>15827</v>
      </c>
      <c r="O324" s="224" t="s">
        <v>16710</v>
      </c>
      <c r="P324" s="185" t="s">
        <v>15949</v>
      </c>
      <c r="Q324" s="225" t="s">
        <v>15829</v>
      </c>
      <c r="R324" s="182" t="str">
        <f ca="1">IF(ISERROR($V324),"",OFFSET('Smelter Look-up'!$C$4,$V324-4,0)&amp;"")</f>
        <v>SungEel HiMetal Co., Ltd.</v>
      </c>
      <c r="S324" s="181" t="str">
        <f t="shared" ca="1" si="41"/>
        <v>KR</v>
      </c>
      <c r="T324" s="181" t="str">
        <f ca="1">IF(B324="","",IF(ISERROR(MATCH($J324,SorP!$B$1:$B$6226,0)),"",INDIRECT("'SorP'!$A$"&amp;MATCH($S324&amp;$J324,SorP!C:C,0))))</f>
        <v>KR-45</v>
      </c>
      <c r="U324" s="201"/>
      <c r="V324" s="226">
        <f>IF(C324="",NA(),IF(OR(C324="Smelter not listed",C324="Smelter not yet identified"),MATCH($B324&amp;$D324,'Smelter Look-up'!$J:$J,0),MATCH($B324&amp;$C324,'Smelter Look-up'!$J:$J,0)))</f>
        <v>275</v>
      </c>
      <c r="X324" s="227">
        <f t="shared" si="42"/>
        <v>0</v>
      </c>
      <c r="AB324" s="228" t="str">
        <f t="shared" si="43"/>
        <v>GoldSungEel HiMetal Co., Ltd.</v>
      </c>
    </row>
    <row r="325" spans="1:28" s="227" customFormat="1" ht="51">
      <c r="A325" s="181" t="s">
        <v>12868</v>
      </c>
      <c r="B325" s="182" t="s">
        <v>1098</v>
      </c>
      <c r="C325" s="186" t="s">
        <v>12867</v>
      </c>
      <c r="D325" s="230" t="s">
        <v>12867</v>
      </c>
      <c r="E325" s="182" t="s">
        <v>1080</v>
      </c>
      <c r="F325" s="182" t="s">
        <v>12868</v>
      </c>
      <c r="G325" s="182" t="s">
        <v>13177</v>
      </c>
      <c r="H325" s="183" t="s">
        <v>16711</v>
      </c>
      <c r="I325" s="184" t="s">
        <v>12884</v>
      </c>
      <c r="J325" s="184" t="s">
        <v>12818</v>
      </c>
      <c r="K325" s="224" t="s">
        <v>16712</v>
      </c>
      <c r="L325" s="224" t="s">
        <v>16713</v>
      </c>
      <c r="M325" s="224" t="s">
        <v>15875</v>
      </c>
      <c r="N325" s="224" t="s">
        <v>15827</v>
      </c>
      <c r="O325" s="224" t="s">
        <v>16714</v>
      </c>
      <c r="P325" s="185" t="s">
        <v>12407</v>
      </c>
      <c r="Q325" s="225" t="s">
        <v>15829</v>
      </c>
      <c r="R325" s="182" t="str">
        <f ca="1">IF(ISERROR($V325),"",OFFSET('Smelter Look-up'!$C$4,$V325-4,0)&amp;"")</f>
        <v>NH Recytech Company</v>
      </c>
      <c r="S325" s="181" t="str">
        <f t="shared" ref="S325" ca="1" si="44">IF(B325="","",IF(ISERROR(MATCH($E325,CL,0)),"Unknown",INDIRECT("'C'!$A$"&amp;MATCH($E325,CL,0)+1)))</f>
        <v>KR</v>
      </c>
      <c r="T325" s="181" t="str">
        <f ca="1">IF(B325="","",IF(ISERROR(MATCH($J325,SorP!$B$1:$B$6226,0)),"",INDIRECT("'SorP'!$A$"&amp;MATCH($S325&amp;$J325,SorP!C:C,0))))</f>
        <v>KR-41</v>
      </c>
      <c r="U325" s="201"/>
      <c r="V325" s="226">
        <f>IF(C325="",NA(),IF(OR(C325="Smelter not listed",C325="Smelter not yet identified"),MATCH($B325&amp;$D325,'Smelter Look-up'!$J:$J,0),MATCH($B325&amp;$C325,'Smelter Look-up'!$J:$J,0)))</f>
        <v>200</v>
      </c>
      <c r="X325" s="227">
        <f t="shared" ref="X325" si="45">IF(AND(C325="Smelter not listed",OR(LEN(D325)=0,LEN(E325)=0)),1,0)</f>
        <v>0</v>
      </c>
      <c r="AB325" s="228" t="str">
        <f t="shared" ref="AB325" si="46">B325&amp;C325</f>
        <v>GoldNH Recytech Company</v>
      </c>
    </row>
    <row r="326" spans="1:28" s="227" customFormat="1" ht="51">
      <c r="A326" s="181" t="s">
        <v>663</v>
      </c>
      <c r="B326" s="182" t="s">
        <v>1098</v>
      </c>
      <c r="C326" s="186" t="s">
        <v>2453</v>
      </c>
      <c r="D326" s="230" t="s">
        <v>2453</v>
      </c>
      <c r="E326" s="182" t="s">
        <v>1080</v>
      </c>
      <c r="F326" s="182" t="s">
        <v>663</v>
      </c>
      <c r="G326" s="182" t="s">
        <v>13177</v>
      </c>
      <c r="H326" s="183"/>
      <c r="I326" s="184" t="s">
        <v>1558</v>
      </c>
      <c r="J326" s="184" t="s">
        <v>12818</v>
      </c>
      <c r="K326" s="224"/>
      <c r="L326" s="224"/>
      <c r="M326" s="224"/>
      <c r="N326" s="224"/>
      <c r="O326" s="224" t="s">
        <v>16715</v>
      </c>
      <c r="P326" s="185"/>
      <c r="Q326" s="225"/>
      <c r="R326" s="182" t="str">
        <f ca="1">IF(ISERROR($V326),"",OFFSET('Smelter Look-up'!$C$4,$V326-4,0)&amp;"")</f>
        <v>HwaSeong CJ CO., LTD.</v>
      </c>
      <c r="S326" s="181" t="str">
        <f t="shared" ref="S326:S357" ca="1" si="47">IF(B326="","",IF(ISERROR(MATCH($E326,CL,0)),"Unknown",INDIRECT("'C'!$A$"&amp;MATCH($E326,CL,0)+1)))</f>
        <v>KR</v>
      </c>
      <c r="T326" s="181" t="str">
        <f ca="1">IF(B326="","",IF(ISERROR(MATCH($J326,SorP!$B$1:$B$6226,0)),"",INDIRECT("'SorP'!$A$"&amp;MATCH($S326&amp;$J326,SorP!C:C,0))))</f>
        <v>KR-41</v>
      </c>
      <c r="U326" s="201"/>
      <c r="V326" s="226">
        <f>IF(C326="",NA(),IF(OR(C326="Smelter not listed",C326="Smelter not yet identified"),MATCH($B326&amp;$D326,'Smelter Look-up'!$J:$J,0),MATCH($B326&amp;$C326,'Smelter Look-up'!$J:$J,0)))</f>
        <v>117</v>
      </c>
      <c r="X326" s="227">
        <f t="shared" ref="X326:X357" si="48">IF(AND(C326="Smelter not listed",OR(LEN(D326)=0,LEN(E326)=0)),1,0)</f>
        <v>0</v>
      </c>
      <c r="AB326" s="228" t="str">
        <f t="shared" ref="AB326:AB357" si="49">B326&amp;C326</f>
        <v>GoldHwaSeong CJ CO., LTD.</v>
      </c>
    </row>
    <row r="327" spans="1:28" s="227" customFormat="1" ht="102">
      <c r="A327" s="181" t="s">
        <v>1373</v>
      </c>
      <c r="B327" s="182" t="s">
        <v>1098</v>
      </c>
      <c r="C327" s="186" t="s">
        <v>1372</v>
      </c>
      <c r="D327" s="230" t="s">
        <v>1372</v>
      </c>
      <c r="E327" s="182" t="s">
        <v>1080</v>
      </c>
      <c r="F327" s="182" t="s">
        <v>1373</v>
      </c>
      <c r="G327" s="182" t="s">
        <v>13177</v>
      </c>
      <c r="H327" s="183"/>
      <c r="I327" s="184" t="s">
        <v>1538</v>
      </c>
      <c r="J327" s="184" t="s">
        <v>12813</v>
      </c>
      <c r="K327" s="224"/>
      <c r="L327" s="224"/>
      <c r="M327" s="224"/>
      <c r="N327" s="224"/>
      <c r="O327" s="224" t="s">
        <v>16716</v>
      </c>
      <c r="P327" s="185"/>
      <c r="Q327" s="225"/>
      <c r="R327" s="182" t="str">
        <f ca="1">IF(ISERROR($V327),"",OFFSET('Smelter Look-up'!$C$4,$V327-4,0)&amp;"")</f>
        <v>Samduck Precious Metals</v>
      </c>
      <c r="S327" s="181" t="str">
        <f t="shared" ca="1" si="47"/>
        <v>KR</v>
      </c>
      <c r="T327" s="181" t="str">
        <f ca="1">IF(B327="","",IF(ISERROR(MATCH($J327,SorP!$B$1:$B$6226,0)),"",INDIRECT("'SorP'!$A$"&amp;MATCH($S327&amp;$J327,SorP!C:C,0))))</f>
        <v>KR-28</v>
      </c>
      <c r="U327" s="201"/>
      <c r="V327" s="226">
        <f>IF(C327="",NA(),IF(OR(C327="Smelter not listed",C327="Smelter not yet identified"),MATCH($B327&amp;$D327,'Smelter Look-up'!$J:$J,0),MATCH($B327&amp;$C327,'Smelter Look-up'!$J:$J,0)))</f>
        <v>239</v>
      </c>
      <c r="X327" s="227">
        <f t="shared" si="48"/>
        <v>0</v>
      </c>
      <c r="AB327" s="228" t="str">
        <f t="shared" si="49"/>
        <v>GoldSamduck Precious Metals</v>
      </c>
    </row>
    <row r="328" spans="1:28" s="227" customFormat="1" ht="38.25">
      <c r="A328" s="181" t="s">
        <v>707</v>
      </c>
      <c r="B328" s="182" t="s">
        <v>1098</v>
      </c>
      <c r="C328" s="186" t="s">
        <v>2395</v>
      </c>
      <c r="D328" s="230" t="s">
        <v>2395</v>
      </c>
      <c r="E328" s="182" t="s">
        <v>1080</v>
      </c>
      <c r="F328" s="182" t="s">
        <v>707</v>
      </c>
      <c r="G328" s="182" t="s">
        <v>13177</v>
      </c>
      <c r="H328" s="183"/>
      <c r="I328" s="184" t="s">
        <v>1616</v>
      </c>
      <c r="J328" s="184" t="s">
        <v>12820</v>
      </c>
      <c r="K328" s="224"/>
      <c r="L328" s="224"/>
      <c r="M328" s="224"/>
      <c r="N328" s="224"/>
      <c r="O328" s="224" t="s">
        <v>16717</v>
      </c>
      <c r="P328" s="185"/>
      <c r="Q328" s="225"/>
      <c r="R328" s="182" t="str">
        <f ca="1">IF(ISERROR($V328),"",OFFSET('Smelter Look-up'!$C$4,$V328-4,0)&amp;"")</f>
        <v>Samwon Metals Corp.</v>
      </c>
      <c r="S328" s="181" t="str">
        <f t="shared" ca="1" si="47"/>
        <v>KR</v>
      </c>
      <c r="T328" s="181" t="str">
        <f ca="1">IF(B328="","",IF(ISERROR(MATCH($J328,SorP!$B$1:$B$6226,0)),"",INDIRECT("'SorP'!$A$"&amp;MATCH($S328&amp;$J328,SorP!C:C,0))))</f>
        <v>KR-48</v>
      </c>
      <c r="U328" s="201"/>
      <c r="V328" s="226">
        <f>IF(C328="",NA(),IF(OR(C328="Smelter not listed",C328="Smelter not yet identified"),MATCH($B328&amp;$D328,'Smelter Look-up'!$J:$J,0),MATCH($B328&amp;$C328,'Smelter Look-up'!$J:$J,0)))</f>
        <v>240</v>
      </c>
      <c r="X328" s="227">
        <f t="shared" si="48"/>
        <v>0</v>
      </c>
      <c r="AB328" s="228" t="str">
        <f t="shared" si="49"/>
        <v>GoldSamwon Metals Corp.</v>
      </c>
    </row>
    <row r="329" spans="1:28" s="227" customFormat="1" ht="51">
      <c r="A329" s="181" t="s">
        <v>718</v>
      </c>
      <c r="B329" s="182" t="s">
        <v>1098</v>
      </c>
      <c r="C329" s="186" t="s">
        <v>593</v>
      </c>
      <c r="D329" s="230" t="s">
        <v>593</v>
      </c>
      <c r="E329" s="182" t="s">
        <v>1080</v>
      </c>
      <c r="F329" s="182" t="s">
        <v>718</v>
      </c>
      <c r="G329" s="182" t="s">
        <v>13177</v>
      </c>
      <c r="H329" s="183" t="s">
        <v>16718</v>
      </c>
      <c r="I329" s="184" t="s">
        <v>1639</v>
      </c>
      <c r="J329" s="184" t="s">
        <v>12816</v>
      </c>
      <c r="K329" s="224" t="s">
        <v>16719</v>
      </c>
      <c r="L329" s="224" t="s">
        <v>16720</v>
      </c>
      <c r="M329" s="224"/>
      <c r="N329" s="224"/>
      <c r="O329" s="224" t="s">
        <v>16721</v>
      </c>
      <c r="P329" s="185" t="s">
        <v>476</v>
      </c>
      <c r="Q329" s="225"/>
      <c r="R329" s="182" t="str">
        <f ca="1">IF(ISERROR($V329),"",OFFSET('Smelter Look-up'!$C$4,$V329-4,0)&amp;"")</f>
        <v>Torecom</v>
      </c>
      <c r="S329" s="181" t="str">
        <f t="shared" ca="1" si="47"/>
        <v>KR</v>
      </c>
      <c r="T329" s="181" t="str">
        <f ca="1">IF(B329="","",IF(ISERROR(MATCH($J329,SorP!$B$1:$B$6226,0)),"",INDIRECT("'SorP'!$A$"&amp;MATCH($S329&amp;$J329,SorP!C:C,0))))</f>
        <v>KR-44</v>
      </c>
      <c r="U329" s="201"/>
      <c r="V329" s="226">
        <f>IF(C329="",NA(),IF(OR(C329="Smelter not listed",C329="Smelter not yet identified"),MATCH($B329&amp;$D329,'Smelter Look-up'!$J:$J,0),MATCH($B329&amp;$C329,'Smelter Look-up'!$J:$J,0)))</f>
        <v>298</v>
      </c>
      <c r="X329" s="227">
        <f t="shared" si="48"/>
        <v>0</v>
      </c>
      <c r="AB329" s="228" t="str">
        <f t="shared" si="49"/>
        <v>GoldTorecom</v>
      </c>
    </row>
    <row r="330" spans="1:28" s="227" customFormat="1" ht="20.25">
      <c r="A330" s="181" t="s">
        <v>16722</v>
      </c>
      <c r="B330" s="182" t="s">
        <v>1101</v>
      </c>
      <c r="C330" s="186" t="s">
        <v>16723</v>
      </c>
      <c r="D330" s="230" t="s">
        <v>16723</v>
      </c>
      <c r="E330" s="182" t="s">
        <v>1080</v>
      </c>
      <c r="F330" s="182" t="s">
        <v>16722</v>
      </c>
      <c r="G330" s="182" t="s">
        <v>13177</v>
      </c>
      <c r="H330" s="183"/>
      <c r="I330" s="184" t="s">
        <v>16724</v>
      </c>
      <c r="J330" s="184" t="s">
        <v>12818</v>
      </c>
      <c r="K330" s="224"/>
      <c r="L330" s="224"/>
      <c r="M330" s="224"/>
      <c r="N330" s="224"/>
      <c r="O330" s="224"/>
      <c r="P330" s="185"/>
      <c r="Q330" s="225"/>
      <c r="R330" s="182" t="str">
        <f ca="1">IF(ISERROR($V330),"",OFFSET('Smelter Look-up'!$C$4,$V330-4,0)&amp;"")</f>
        <v/>
      </c>
      <c r="S330" s="181" t="str">
        <f t="shared" ca="1" si="47"/>
        <v>KR</v>
      </c>
      <c r="T330" s="181" t="str">
        <f ca="1">IF(B330="","",IF(ISERROR(MATCH($J330,SorP!$B$1:$B$6226,0)),"",INDIRECT("'SorP'!$A$"&amp;MATCH($S330&amp;$J330,SorP!C:C,0))))</f>
        <v>KR-41</v>
      </c>
      <c r="U330" s="201"/>
      <c r="V330" s="226" t="e">
        <f>IF(C330="",NA(),IF(OR(C330="Smelter not listed",C330="Smelter not yet identified"),MATCH($B330&amp;$D330,'Smelter Look-up'!$J:$J,0),MATCH($B330&amp;$C330,'Smelter Look-up'!$J:$J,0)))</f>
        <v>#N/A</v>
      </c>
      <c r="X330" s="227">
        <f t="shared" si="48"/>
        <v>0</v>
      </c>
      <c r="AB330" s="228" t="str">
        <f t="shared" si="49"/>
        <v>TungstenKGETS Co., Ltd.</v>
      </c>
    </row>
    <row r="331" spans="1:28" s="227" customFormat="1" ht="25.5">
      <c r="A331" s="181" t="s">
        <v>15314</v>
      </c>
      <c r="B331" s="182" t="s">
        <v>1101</v>
      </c>
      <c r="C331" s="186" t="s">
        <v>15313</v>
      </c>
      <c r="D331" s="230" t="s">
        <v>15313</v>
      </c>
      <c r="E331" s="182" t="s">
        <v>1080</v>
      </c>
      <c r="F331" s="182" t="s">
        <v>15314</v>
      </c>
      <c r="G331" s="182" t="s">
        <v>13177</v>
      </c>
      <c r="H331" s="183"/>
      <c r="I331" s="184" t="s">
        <v>15315</v>
      </c>
      <c r="J331" s="184" t="s">
        <v>12816</v>
      </c>
      <c r="K331" s="224"/>
      <c r="L331" s="224"/>
      <c r="M331" s="224"/>
      <c r="N331" s="224"/>
      <c r="O331" s="224"/>
      <c r="P331" s="185"/>
      <c r="Q331" s="225"/>
      <c r="R331" s="182" t="str">
        <f ca="1">IF(ISERROR($V331),"",OFFSET('Smelter Look-up'!$C$4,$V331-4,0)&amp;"")</f>
        <v>HANNAE FOR T Co., Ltd.</v>
      </c>
      <c r="S331" s="181" t="str">
        <f t="shared" ca="1" si="47"/>
        <v>KR</v>
      </c>
      <c r="T331" s="181" t="str">
        <f ca="1">IF(B331="","",IF(ISERROR(MATCH($J331,SorP!$B$1:$B$6226,0)),"",INDIRECT("'SorP'!$A$"&amp;MATCH($S331&amp;$J331,SorP!C:C,0))))</f>
        <v>KR-44</v>
      </c>
      <c r="U331" s="201"/>
      <c r="V331" s="226">
        <f>IF(C331="",NA(),IF(OR(C331="Smelter not listed",C331="Smelter not yet identified"),MATCH($B331&amp;$D331,'Smelter Look-up'!$J:$J,0),MATCH($B331&amp;$C331,'Smelter Look-up'!$J:$J,0)))</f>
        <v>584</v>
      </c>
      <c r="X331" s="227">
        <f t="shared" si="48"/>
        <v>0</v>
      </c>
      <c r="AB331" s="228" t="str">
        <f t="shared" si="49"/>
        <v>TungstenHANNAE FOR T Co., Ltd.</v>
      </c>
    </row>
    <row r="332" spans="1:28" s="227" customFormat="1" ht="20.25">
      <c r="A332" s="181" t="s">
        <v>15356</v>
      </c>
      <c r="B332" s="182" t="s">
        <v>1101</v>
      </c>
      <c r="C332" s="186" t="s">
        <v>15355</v>
      </c>
      <c r="D332" s="230" t="s">
        <v>15355</v>
      </c>
      <c r="E332" s="182" t="s">
        <v>1080</v>
      </c>
      <c r="F332" s="182" t="s">
        <v>15356</v>
      </c>
      <c r="G332" s="182" t="s">
        <v>13177</v>
      </c>
      <c r="H332" s="183"/>
      <c r="I332" s="184" t="s">
        <v>15365</v>
      </c>
      <c r="J332" s="184" t="s">
        <v>12819</v>
      </c>
      <c r="K332" s="224"/>
      <c r="L332" s="224"/>
      <c r="M332" s="224"/>
      <c r="N332" s="224"/>
      <c r="O332" s="224"/>
      <c r="P332" s="185"/>
      <c r="Q332" s="225"/>
      <c r="R332" s="182" t="str">
        <f ca="1">IF(ISERROR($V332),"",OFFSET('Smelter Look-up'!$C$4,$V332-4,0)&amp;"")</f>
        <v>DONGKUK INDUSTRIES CO., LTD.</v>
      </c>
      <c r="S332" s="181" t="str">
        <f t="shared" ca="1" si="47"/>
        <v>KR</v>
      </c>
      <c r="T332" s="181" t="str">
        <f ca="1">IF(B332="","",IF(ISERROR(MATCH($J332,SorP!$B$1:$B$6226,0)),"",INDIRECT("'SorP'!$A$"&amp;MATCH($S332&amp;$J332,SorP!C:C,0))))</f>
        <v>KR-47</v>
      </c>
      <c r="U332" s="201"/>
      <c r="V332" s="226">
        <f>IF(C332="",NA(),IF(OR(C332="Smelter not listed",C332="Smelter not yet identified"),MATCH($B332&amp;$D332,'Smelter Look-up'!$J:$J,0),MATCH($B332&amp;$C332,'Smelter Look-up'!$J:$J,0)))</f>
        <v>572</v>
      </c>
      <c r="X332" s="227">
        <f t="shared" si="48"/>
        <v>0</v>
      </c>
      <c r="AB332" s="228" t="str">
        <f t="shared" si="49"/>
        <v>TungstenDONGKUK INDUSTRIES CO., LTD.</v>
      </c>
    </row>
    <row r="333" spans="1:28" s="227" customFormat="1" ht="38.25">
      <c r="A333" s="181" t="s">
        <v>678</v>
      </c>
      <c r="B333" s="182" t="s">
        <v>1098</v>
      </c>
      <c r="C333" s="186" t="s">
        <v>817</v>
      </c>
      <c r="D333" s="230" t="s">
        <v>817</v>
      </c>
      <c r="E333" s="182" t="s">
        <v>1079</v>
      </c>
      <c r="F333" s="182" t="s">
        <v>678</v>
      </c>
      <c r="G333" s="182" t="s">
        <v>13177</v>
      </c>
      <c r="H333" s="183"/>
      <c r="I333" s="184" t="s">
        <v>1576</v>
      </c>
      <c r="J333" s="184" t="s">
        <v>12807</v>
      </c>
      <c r="K333" s="224"/>
      <c r="L333" s="224"/>
      <c r="M333" s="224"/>
      <c r="N333" s="224"/>
      <c r="O333" s="224" t="s">
        <v>16725</v>
      </c>
      <c r="P333" s="185"/>
      <c r="Q333" s="225"/>
      <c r="R333" s="182" t="str">
        <f ca="1">IF(ISERROR($V333),"",OFFSET('Smelter Look-up'!$C$4,$V333-4,0)&amp;"")</f>
        <v>Kyrgyzaltyn JSC</v>
      </c>
      <c r="S333" s="181" t="str">
        <f t="shared" ca="1" si="47"/>
        <v>KG</v>
      </c>
      <c r="T333" s="181" t="str">
        <f ca="1">IF(B333="","",IF(ISERROR(MATCH($J333,SorP!$B$1:$B$6226,0)),"",INDIRECT("'SorP'!$A$"&amp;MATCH($S333&amp;$J333,SorP!C:C,0))))</f>
        <v>KG-C</v>
      </c>
      <c r="U333" s="201"/>
      <c r="V333" s="226">
        <f>IF(C333="",NA(),IF(OR(C333="Smelter not listed",C333="Smelter not yet identified"),MATCH($B333&amp;$D333,'Smelter Look-up'!$J:$J,0),MATCH($B333&amp;$C333,'Smelter Look-up'!$J:$J,0)))</f>
        <v>154</v>
      </c>
      <c r="X333" s="227">
        <f t="shared" si="48"/>
        <v>0</v>
      </c>
      <c r="AB333" s="228" t="str">
        <f t="shared" si="49"/>
        <v>GoldKyrgyzaltyn JSC</v>
      </c>
    </row>
    <row r="334" spans="1:28" s="227" customFormat="1" ht="38.25">
      <c r="A334" s="181" t="s">
        <v>2472</v>
      </c>
      <c r="B334" s="182" t="s">
        <v>1098</v>
      </c>
      <c r="C334" s="186" t="s">
        <v>2471</v>
      </c>
      <c r="D334" s="230" t="s">
        <v>2471</v>
      </c>
      <c r="E334" s="182" t="s">
        <v>1081</v>
      </c>
      <c r="F334" s="182" t="s">
        <v>2472</v>
      </c>
      <c r="G334" s="182" t="s">
        <v>13177</v>
      </c>
      <c r="H334" s="183"/>
      <c r="I334" s="184" t="s">
        <v>2473</v>
      </c>
      <c r="J334" s="184" t="s">
        <v>2473</v>
      </c>
      <c r="K334" s="224"/>
      <c r="L334" s="224"/>
      <c r="M334" s="224"/>
      <c r="N334" s="224"/>
      <c r="O334" s="224" t="s">
        <v>16726</v>
      </c>
      <c r="P334" s="185"/>
      <c r="Q334" s="225"/>
      <c r="R334" s="182" t="str">
        <f ca="1">IF(ISERROR($V334),"",OFFSET('Smelter Look-up'!$C$4,$V334-4,0)&amp;"")</f>
        <v>State Research Institute Center for Physical Sciences and Technology</v>
      </c>
      <c r="S334" s="181" t="str">
        <f t="shared" ca="1" si="47"/>
        <v>LT</v>
      </c>
      <c r="T334" s="181" t="str">
        <f ca="1">IF(B334="","",IF(ISERROR(MATCH($J334,SorP!$B$1:$B$6226,0)),"",INDIRECT("'SorP'!$A$"&amp;MATCH($S334&amp;$J334,SorP!C:C,0))))</f>
        <v>LT-58</v>
      </c>
      <c r="U334" s="201"/>
      <c r="V334" s="226">
        <f>IF(C334="",NA(),IF(OR(C334="Smelter not listed",C334="Smelter not yet identified"),MATCH($B334&amp;$D334,'Smelter Look-up'!$J:$J,0),MATCH($B334&amp;$C334,'Smelter Look-up'!$J:$J,0)))</f>
        <v>271</v>
      </c>
      <c r="X334" s="227">
        <f t="shared" si="48"/>
        <v>0</v>
      </c>
      <c r="AB334" s="228" t="str">
        <f t="shared" si="49"/>
        <v>GoldState Research Institute Center for Physical Sciences and Technology</v>
      </c>
    </row>
    <row r="335" spans="1:28" s="227" customFormat="1" ht="25.5">
      <c r="A335" s="181" t="s">
        <v>752</v>
      </c>
      <c r="B335" s="182" t="s">
        <v>1099</v>
      </c>
      <c r="C335" s="186" t="s">
        <v>793</v>
      </c>
      <c r="D335" s="230" t="s">
        <v>793</v>
      </c>
      <c r="E335" s="182" t="s">
        <v>1084</v>
      </c>
      <c r="F335" s="182" t="s">
        <v>752</v>
      </c>
      <c r="G335" s="182" t="s">
        <v>13177</v>
      </c>
      <c r="H335" s="183"/>
      <c r="I335" s="184" t="s">
        <v>1739</v>
      </c>
      <c r="J335" s="184" t="s">
        <v>8635</v>
      </c>
      <c r="K335" s="224" t="s">
        <v>16727</v>
      </c>
      <c r="L335" s="224" t="s">
        <v>16728</v>
      </c>
      <c r="M335" s="224" t="s">
        <v>15826</v>
      </c>
      <c r="N335" s="224" t="s">
        <v>15827</v>
      </c>
      <c r="O335" s="224" t="s">
        <v>16729</v>
      </c>
      <c r="P335" s="185" t="s">
        <v>12407</v>
      </c>
      <c r="Q335" s="225" t="s">
        <v>15829</v>
      </c>
      <c r="R335" s="182" t="str">
        <f ca="1">IF(ISERROR($V335),"",OFFSET('Smelter Look-up'!$C$4,$V335-4,0)&amp;"")</f>
        <v>Malaysia Smelting Corporation (MSC)</v>
      </c>
      <c r="S335" s="181" t="str">
        <f t="shared" ca="1" si="47"/>
        <v>MY</v>
      </c>
      <c r="T335" s="181" t="str">
        <f ca="1">IF(B335="","",IF(ISERROR(MATCH($J335,SorP!$B$1:$B$6226,0)),"",INDIRECT("'SorP'!$A$"&amp;MATCH($S335&amp;$J335,SorP!C:C,0))))</f>
        <v>MY-07</v>
      </c>
      <c r="U335" s="201"/>
      <c r="V335" s="226">
        <f>IF(C335="",NA(),IF(OR(C335="Smelter not listed",C335="Smelter not yet identified"),MATCH($B335&amp;$D335,'Smelter Look-up'!$J:$J,0),MATCH($B335&amp;$C335,'Smelter Look-up'!$J:$J,0)))</f>
        <v>468</v>
      </c>
      <c r="X335" s="227">
        <f t="shared" si="48"/>
        <v>0</v>
      </c>
      <c r="AB335" s="228" t="str">
        <f t="shared" si="49"/>
        <v>TinMalaysia Smelting Corporation (MSC)</v>
      </c>
    </row>
    <row r="336" spans="1:28" s="227" customFormat="1" ht="25.5">
      <c r="A336" s="181" t="s">
        <v>15635</v>
      </c>
      <c r="B336" s="182" t="s">
        <v>1099</v>
      </c>
      <c r="C336" s="186" t="s">
        <v>15634</v>
      </c>
      <c r="D336" s="230" t="s">
        <v>15634</v>
      </c>
      <c r="E336" s="182" t="s">
        <v>1084</v>
      </c>
      <c r="F336" s="182" t="s">
        <v>15635</v>
      </c>
      <c r="G336" s="182" t="s">
        <v>13177</v>
      </c>
      <c r="H336" s="183"/>
      <c r="I336" s="184" t="s">
        <v>15645</v>
      </c>
      <c r="J336" s="184" t="s">
        <v>8641</v>
      </c>
      <c r="K336" s="224"/>
      <c r="L336" s="224"/>
      <c r="M336" s="224" t="s">
        <v>15875</v>
      </c>
      <c r="N336" s="224" t="s">
        <v>15827</v>
      </c>
      <c r="O336" s="224" t="s">
        <v>1084</v>
      </c>
      <c r="P336" s="185" t="s">
        <v>12407</v>
      </c>
      <c r="Q336" s="225" t="s">
        <v>15829</v>
      </c>
      <c r="R336" s="182" t="str">
        <f ca="1">IF(ISERROR($V336),"",OFFSET('Smelter Look-up'!$C$4,$V336-4,0)&amp;"")</f>
        <v>Malaysia Smelting Corporation Berhad (Port Klang)</v>
      </c>
      <c r="S336" s="181" t="str">
        <f t="shared" ca="1" si="47"/>
        <v>MY</v>
      </c>
      <c r="T336" s="181" t="str">
        <f ca="1">IF(B336="","",IF(ISERROR(MATCH($J336,SorP!$B$1:$B$6226,0)),"",INDIRECT("'SorP'!$A$"&amp;MATCH($S336&amp;$J336,SorP!C:C,0))))</f>
        <v>MY-10</v>
      </c>
      <c r="U336" s="201"/>
      <c r="V336" s="226">
        <f>IF(C336="",NA(),IF(OR(C336="Smelter not listed",C336="Smelter not yet identified"),MATCH($B336&amp;$D336,'Smelter Look-up'!$J:$J,0),MATCH($B336&amp;$C336,'Smelter Look-up'!$J:$J,0)))</f>
        <v>469</v>
      </c>
      <c r="X336" s="227">
        <f t="shared" si="48"/>
        <v>0</v>
      </c>
      <c r="AB336" s="228" t="str">
        <f t="shared" si="49"/>
        <v>TinMalaysia Smelting Corporation Berhad (Port Klang)</v>
      </c>
    </row>
    <row r="337" spans="1:28" s="227" customFormat="1" ht="25.5">
      <c r="A337" s="181" t="s">
        <v>16730</v>
      </c>
      <c r="B337" s="182" t="s">
        <v>1100</v>
      </c>
      <c r="C337" s="186" t="s">
        <v>793</v>
      </c>
      <c r="D337" s="230" t="s">
        <v>793</v>
      </c>
      <c r="E337" s="182" t="s">
        <v>1084</v>
      </c>
      <c r="F337" s="182" t="s">
        <v>16730</v>
      </c>
      <c r="G337" s="182" t="s">
        <v>13177</v>
      </c>
      <c r="H337" s="183" t="s">
        <v>15840</v>
      </c>
      <c r="I337" s="184" t="s">
        <v>15840</v>
      </c>
      <c r="J337" s="184" t="s">
        <v>15840</v>
      </c>
      <c r="K337" s="224"/>
      <c r="L337" s="224"/>
      <c r="M337" s="224"/>
      <c r="N337" s="224"/>
      <c r="O337" s="224"/>
      <c r="P337" s="185"/>
      <c r="Q337" s="225"/>
      <c r="R337" s="182" t="str">
        <f ca="1">IF(ISERROR($V337),"",OFFSET('Smelter Look-up'!$C$4,$V337-4,0)&amp;"")</f>
        <v/>
      </c>
      <c r="S337" s="181" t="str">
        <f t="shared" ca="1" si="47"/>
        <v>MY</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si="48"/>
        <v>0</v>
      </c>
      <c r="AB337" s="228" t="str">
        <f t="shared" si="49"/>
        <v>TantalumMalaysia Smelting Corporation (MSC)</v>
      </c>
    </row>
    <row r="338" spans="1:28" s="227" customFormat="1" ht="20.25">
      <c r="A338" s="181" t="s">
        <v>16731</v>
      </c>
      <c r="B338" s="182" t="s">
        <v>1099</v>
      </c>
      <c r="C338" s="186" t="s">
        <v>16732</v>
      </c>
      <c r="D338" s="230" t="s">
        <v>16732</v>
      </c>
      <c r="E338" s="182" t="s">
        <v>1084</v>
      </c>
      <c r="F338" s="182" t="s">
        <v>16731</v>
      </c>
      <c r="G338" s="182" t="s">
        <v>13177</v>
      </c>
      <c r="H338" s="183" t="s">
        <v>15840</v>
      </c>
      <c r="I338" s="184" t="s">
        <v>15840</v>
      </c>
      <c r="J338" s="184" t="s">
        <v>15840</v>
      </c>
      <c r="K338" s="224"/>
      <c r="L338" s="224"/>
      <c r="M338" s="224"/>
      <c r="N338" s="224"/>
      <c r="O338" s="224"/>
      <c r="P338" s="185"/>
      <c r="Q338" s="225"/>
      <c r="R338" s="182" t="str">
        <f ca="1">IF(ISERROR($V338),"",OFFSET('Smelter Look-up'!$C$4,$V338-4,0)&amp;"")</f>
        <v/>
      </c>
      <c r="S338" s="181" t="str">
        <f t="shared" ca="1" si="47"/>
        <v>MY</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si="48"/>
        <v>0</v>
      </c>
      <c r="AB338" s="228" t="str">
        <f t="shared" si="49"/>
        <v>TinMetahub Industries Sdn. Bhd.</v>
      </c>
    </row>
    <row r="339" spans="1:28" s="227" customFormat="1" ht="38.25">
      <c r="A339" s="181" t="s">
        <v>2263</v>
      </c>
      <c r="B339" s="182" t="s">
        <v>1098</v>
      </c>
      <c r="C339" s="186" t="s">
        <v>2262</v>
      </c>
      <c r="D339" s="230" t="s">
        <v>2262</v>
      </c>
      <c r="E339" s="182" t="s">
        <v>1084</v>
      </c>
      <c r="F339" s="182" t="s">
        <v>2263</v>
      </c>
      <c r="G339" s="182" t="s">
        <v>13177</v>
      </c>
      <c r="H339" s="183"/>
      <c r="I339" s="184" t="s">
        <v>2299</v>
      </c>
      <c r="J339" s="184" t="s">
        <v>2300</v>
      </c>
      <c r="K339" s="224"/>
      <c r="L339" s="224"/>
      <c r="M339" s="224"/>
      <c r="N339" s="224"/>
      <c r="O339" s="224" t="s">
        <v>16733</v>
      </c>
      <c r="P339" s="185"/>
      <c r="Q339" s="225"/>
      <c r="R339" s="182" t="str">
        <f ca="1">IF(ISERROR($V339),"",OFFSET('Smelter Look-up'!$C$4,$V339-4,0)&amp;"")</f>
        <v>Modeltech Sdn Bhd</v>
      </c>
      <c r="S339" s="181" t="str">
        <f t="shared" ca="1" si="47"/>
        <v>MY</v>
      </c>
      <c r="T339" s="181" t="str">
        <f ca="1">IF(B339="","",IF(ISERROR(MATCH($J339,SorP!$B$1:$B$6226,0)),"",INDIRECT("'SorP'!$A$"&amp;MATCH($S339&amp;$J339,SorP!C:C,0))))</f>
        <v>MY-04</v>
      </c>
      <c r="U339" s="201"/>
      <c r="V339" s="226">
        <f>IF(C339="",NA(),IF(OR(C339="Smelter not listed",C339="Smelter not yet identified"),MATCH($B339&amp;$D339,'Smelter Look-up'!$J:$J,0),MATCH($B339&amp;$C339,'Smelter Look-up'!$J:$J,0)))</f>
        <v>194</v>
      </c>
      <c r="X339" s="227">
        <f t="shared" si="48"/>
        <v>0</v>
      </c>
      <c r="AB339" s="228" t="str">
        <f t="shared" si="49"/>
        <v>GoldModeltech Sdn Bhd</v>
      </c>
    </row>
    <row r="340" spans="1:28" s="227" customFormat="1" ht="25.5">
      <c r="A340" s="181" t="s">
        <v>2296</v>
      </c>
      <c r="B340" s="182" t="s">
        <v>1099</v>
      </c>
      <c r="C340" s="186" t="s">
        <v>2262</v>
      </c>
      <c r="D340" s="230" t="s">
        <v>2262</v>
      </c>
      <c r="E340" s="182" t="s">
        <v>1084</v>
      </c>
      <c r="F340" s="182" t="s">
        <v>2296</v>
      </c>
      <c r="G340" s="182" t="s">
        <v>13177</v>
      </c>
      <c r="H340" s="183"/>
      <c r="I340" s="184" t="s">
        <v>2299</v>
      </c>
      <c r="J340" s="184" t="s">
        <v>2300</v>
      </c>
      <c r="K340" s="224"/>
      <c r="L340" s="224"/>
      <c r="M340" s="224"/>
      <c r="N340" s="224"/>
      <c r="O340" s="224" t="s">
        <v>16734</v>
      </c>
      <c r="P340" s="185"/>
      <c r="Q340" s="225"/>
      <c r="R340" s="182" t="str">
        <f ca="1">IF(ISERROR($V340),"",OFFSET('Smelter Look-up'!$C$4,$V340-4,0)&amp;"")</f>
        <v>Modeltech Sdn Bhd</v>
      </c>
      <c r="S340" s="181" t="str">
        <f t="shared" ca="1" si="47"/>
        <v>MY</v>
      </c>
      <c r="T340" s="181" t="str">
        <f ca="1">IF(B340="","",IF(ISERROR(MATCH($J340,SorP!$B$1:$B$6226,0)),"",INDIRECT("'SorP'!$A$"&amp;MATCH($S340&amp;$J340,SorP!C:C,0))))</f>
        <v>MY-04</v>
      </c>
      <c r="U340" s="201"/>
      <c r="V340" s="226">
        <f>IF(C340="",NA(),IF(OR(C340="Smelter not listed",C340="Smelter not yet identified"),MATCH($B340&amp;$D340,'Smelter Look-up'!$J:$J,0),MATCH($B340&amp;$C340,'Smelter Look-up'!$J:$J,0)))</f>
        <v>483</v>
      </c>
      <c r="X340" s="227">
        <f t="shared" si="48"/>
        <v>0</v>
      </c>
      <c r="AB340" s="228" t="str">
        <f t="shared" si="49"/>
        <v>TinModeltech Sdn Bhd</v>
      </c>
    </row>
    <row r="341" spans="1:28" s="227" customFormat="1" ht="20.25">
      <c r="A341" s="181" t="s">
        <v>16735</v>
      </c>
      <c r="B341" s="182" t="s">
        <v>1099</v>
      </c>
      <c r="C341" s="186" t="s">
        <v>16736</v>
      </c>
      <c r="D341" s="230" t="s">
        <v>16736</v>
      </c>
      <c r="E341" s="182" t="s">
        <v>1084</v>
      </c>
      <c r="F341" s="182" t="s">
        <v>16735</v>
      </c>
      <c r="G341" s="182" t="s">
        <v>13177</v>
      </c>
      <c r="H341" s="183"/>
      <c r="I341" s="184" t="s">
        <v>16737</v>
      </c>
      <c r="J341" s="184" t="s">
        <v>16738</v>
      </c>
      <c r="K341" s="224"/>
      <c r="L341" s="224"/>
      <c r="M341" s="224"/>
      <c r="N341" s="224"/>
      <c r="O341" s="224"/>
      <c r="P341" s="185"/>
      <c r="Q341" s="225"/>
      <c r="R341" s="182" t="str">
        <f ca="1">IF(ISERROR($V341),"",OFFSET('Smelter Look-up'!$C$4,$V341-4,0)&amp;"")</f>
        <v/>
      </c>
      <c r="S341" s="181" t="str">
        <f t="shared" ca="1" si="47"/>
        <v>MY</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si="48"/>
        <v>0</v>
      </c>
      <c r="AB341" s="228" t="str">
        <f t="shared" si="49"/>
        <v>TinRian Resources SDN. BHD.</v>
      </c>
    </row>
    <row r="342" spans="1:28" s="227" customFormat="1" ht="25.5">
      <c r="A342" s="181" t="s">
        <v>15652</v>
      </c>
      <c r="B342" s="182" t="s">
        <v>1101</v>
      </c>
      <c r="C342" s="186" t="s">
        <v>15651</v>
      </c>
      <c r="D342" s="230" t="s">
        <v>15651</v>
      </c>
      <c r="E342" s="182" t="s">
        <v>1084</v>
      </c>
      <c r="F342" s="182" t="s">
        <v>15652</v>
      </c>
      <c r="G342" s="182" t="s">
        <v>13177</v>
      </c>
      <c r="H342" s="183"/>
      <c r="I342" s="184" t="s">
        <v>15661</v>
      </c>
      <c r="J342" s="184" t="s">
        <v>8643</v>
      </c>
      <c r="K342" s="224"/>
      <c r="L342" s="224"/>
      <c r="M342" s="224"/>
      <c r="N342" s="224"/>
      <c r="O342" s="224"/>
      <c r="P342" s="185"/>
      <c r="Q342" s="225"/>
      <c r="R342" s="182" t="str">
        <f ca="1">IF(ISERROR($V342),"",OFFSET('Smelter Look-up'!$C$4,$V342-4,0)&amp;"")</f>
        <v>MALAMET SMELTING SDN. BHD.</v>
      </c>
      <c r="S342" s="181" t="str">
        <f t="shared" ca="1" si="47"/>
        <v>MY</v>
      </c>
      <c r="T342" s="181" t="str">
        <f ca="1">IF(B342="","",IF(ISERROR(MATCH($J342,SorP!$B$1:$B$6226,0)),"",INDIRECT("'SorP'!$A$"&amp;MATCH($S342&amp;$J342,SorP!C:C,0))))</f>
        <v>MY-14</v>
      </c>
      <c r="U342" s="201"/>
      <c r="V342" s="226">
        <f>IF(C342="",NA(),IF(OR(C342="Smelter not listed",C342="Smelter not yet identified"),MATCH($B342&amp;$D342,'Smelter Look-up'!$J:$J,0),MATCH($B342&amp;$C342,'Smelter Look-up'!$J:$J,0)))</f>
        <v>609</v>
      </c>
      <c r="X342" s="227">
        <f t="shared" si="48"/>
        <v>0</v>
      </c>
      <c r="AB342" s="228" t="str">
        <f t="shared" si="49"/>
        <v>TungstenMALAMET SMELTING SDN. BHD.</v>
      </c>
    </row>
    <row r="343" spans="1:28" s="227" customFormat="1" ht="20.25">
      <c r="A343" s="181" t="s">
        <v>16739</v>
      </c>
      <c r="B343" s="182" t="s">
        <v>1098</v>
      </c>
      <c r="C343" s="186" t="s">
        <v>16740</v>
      </c>
      <c r="D343" s="230" t="s">
        <v>16740</v>
      </c>
      <c r="E343" s="182" t="s">
        <v>13017</v>
      </c>
      <c r="F343" s="182" t="s">
        <v>16739</v>
      </c>
      <c r="G343" s="182" t="s">
        <v>13177</v>
      </c>
      <c r="H343" s="183"/>
      <c r="I343" s="184" t="s">
        <v>16741</v>
      </c>
      <c r="J343" s="184" t="s">
        <v>8292</v>
      </c>
      <c r="K343" s="224"/>
      <c r="L343" s="224"/>
      <c r="M343" s="224"/>
      <c r="N343" s="224"/>
      <c r="O343" s="224"/>
      <c r="P343" s="185"/>
      <c r="Q343" s="225"/>
      <c r="R343" s="182" t="str">
        <f ca="1">IF(ISERROR($V343),"",OFFSET('Smelter Look-up'!$C$4,$V343-4,0)&amp;"")</f>
        <v/>
      </c>
      <c r="S343" s="181" t="str">
        <f t="shared" ca="1" si="47"/>
        <v>MR</v>
      </c>
      <c r="T343" s="181" t="str">
        <f ca="1">IF(B343="","",IF(ISERROR(MATCH($J343,SorP!$B$1:$B$6226,0)),"",INDIRECT("'SorP'!$A$"&amp;MATCH($S343&amp;$J343,SorP!C:C,0))))</f>
        <v>MR-13</v>
      </c>
      <c r="U343" s="201"/>
      <c r="V343" s="226" t="e">
        <f>IF(C343="",NA(),IF(OR(C343="Smelter not listed",C343="Smelter not yet identified"),MATCH($B343&amp;$D343,'Smelter Look-up'!$J:$J,0),MATCH($B343&amp;$C343,'Smelter Look-up'!$J:$J,0)))</f>
        <v>#N/A</v>
      </c>
      <c r="X343" s="227">
        <f t="shared" si="48"/>
        <v>0</v>
      </c>
      <c r="AB343" s="228" t="str">
        <f t="shared" si="49"/>
        <v>GoldSellem Industries Ltd.</v>
      </c>
    </row>
    <row r="344" spans="1:28" s="227" customFormat="1" ht="25.5">
      <c r="A344" s="181" t="s">
        <v>690</v>
      </c>
      <c r="B344" s="182" t="s">
        <v>1098</v>
      </c>
      <c r="C344" s="186" t="s">
        <v>12376</v>
      </c>
      <c r="D344" s="230" t="s">
        <v>12376</v>
      </c>
      <c r="E344" s="182" t="s">
        <v>1082</v>
      </c>
      <c r="F344" s="182" t="s">
        <v>690</v>
      </c>
      <c r="G344" s="182" t="s">
        <v>13177</v>
      </c>
      <c r="H344" s="183" t="s">
        <v>16742</v>
      </c>
      <c r="I344" s="184" t="s">
        <v>1592</v>
      </c>
      <c r="J344" s="184" t="s">
        <v>12832</v>
      </c>
      <c r="K344" s="224" t="s">
        <v>16743</v>
      </c>
      <c r="L344" s="224" t="s">
        <v>16744</v>
      </c>
      <c r="M344" s="224" t="s">
        <v>15869</v>
      </c>
      <c r="N344" s="224" t="s">
        <v>15827</v>
      </c>
      <c r="O344" s="224" t="s">
        <v>16745</v>
      </c>
      <c r="P344" s="185" t="s">
        <v>12407</v>
      </c>
      <c r="Q344" s="225" t="s">
        <v>15829</v>
      </c>
      <c r="R344" s="182" t="str">
        <f ca="1">IF(ISERROR($V344),"",OFFSET('Smelter Look-up'!$C$4,$V344-4,0)&amp;"")</f>
        <v>Metalurgica Met-Mex Penoles S.A. De C.V.</v>
      </c>
      <c r="S344" s="181" t="str">
        <f t="shared" ca="1" si="47"/>
        <v>MX</v>
      </c>
      <c r="T344" s="181" t="str">
        <f ca="1">IF(B344="","",IF(ISERROR(MATCH($J344,SorP!$B$1:$B$6226,0)),"",INDIRECT("'SorP'!$A$"&amp;MATCH($S344&amp;$J344,SorP!C:C,0))))</f>
        <v>MX-COA</v>
      </c>
      <c r="U344" s="201"/>
      <c r="V344" s="226">
        <f>IF(C344="",NA(),IF(OR(C344="Smelter not listed",C344="Smelter not yet identified"),MATCH($B344&amp;$D344,'Smelter Look-up'!$J:$J,0),MATCH($B344&amp;$C344,'Smelter Look-up'!$J:$J,0)))</f>
        <v>183</v>
      </c>
      <c r="X344" s="227">
        <f t="shared" si="48"/>
        <v>0</v>
      </c>
      <c r="AB344" s="228" t="str">
        <f t="shared" si="49"/>
        <v>GoldMetalurgica Met-Mex Penoles S.A. De C.V.</v>
      </c>
    </row>
    <row r="345" spans="1:28" s="227" customFormat="1" ht="140.25">
      <c r="A345" s="181" t="s">
        <v>1388</v>
      </c>
      <c r="B345" s="182" t="s">
        <v>1100</v>
      </c>
      <c r="C345" s="186" t="s">
        <v>14950</v>
      </c>
      <c r="D345" s="230" t="s">
        <v>14950</v>
      </c>
      <c r="E345" s="182" t="s">
        <v>1082</v>
      </c>
      <c r="F345" s="182" t="s">
        <v>1388</v>
      </c>
      <c r="G345" s="182" t="s">
        <v>13177</v>
      </c>
      <c r="H345" s="183" t="s">
        <v>16746</v>
      </c>
      <c r="I345" s="184" t="s">
        <v>1705</v>
      </c>
      <c r="J345" s="184" t="s">
        <v>1706</v>
      </c>
      <c r="K345" s="224" t="s">
        <v>16747</v>
      </c>
      <c r="L345" s="224" t="s">
        <v>16748</v>
      </c>
      <c r="M345" s="224" t="s">
        <v>15833</v>
      </c>
      <c r="N345" s="224" t="s">
        <v>15827</v>
      </c>
      <c r="O345" s="224" t="s">
        <v>16749</v>
      </c>
      <c r="P345" s="185" t="s">
        <v>12407</v>
      </c>
      <c r="Q345" s="225" t="s">
        <v>15829</v>
      </c>
      <c r="R345" s="182" t="str">
        <f ca="1">IF(ISERROR($V345),"",OFFSET('Smelter Look-up'!$C$4,$V345-4,0)&amp;"")</f>
        <v>KEMET de Mexico</v>
      </c>
      <c r="S345" s="181" t="str">
        <f t="shared" ca="1" si="47"/>
        <v>MX</v>
      </c>
      <c r="T345" s="181" t="str">
        <f ca="1">IF(B345="","",IF(ISERROR(MATCH($J345,SorP!$B$1:$B$6226,0)),"",INDIRECT("'SorP'!$A$"&amp;MATCH($S345&amp;$J345,SorP!C:C,0))))</f>
        <v>MX-TAM</v>
      </c>
      <c r="U345" s="201"/>
      <c r="V345" s="226">
        <f>IF(C345="",NA(),IF(OR(C345="Smelter not listed",C345="Smelter not yet identified"),MATCH($B345&amp;$D345,'Smelter Look-up'!$J:$J,0),MATCH($B345&amp;$C345,'Smelter Look-up'!$J:$J,0)))</f>
        <v>358</v>
      </c>
      <c r="X345" s="227">
        <f t="shared" si="48"/>
        <v>0</v>
      </c>
      <c r="AB345" s="228" t="str">
        <f t="shared" si="49"/>
        <v>TantalumKEMET de Mexico</v>
      </c>
    </row>
    <row r="346" spans="1:28" s="227" customFormat="1" ht="25.5">
      <c r="A346" s="181" t="s">
        <v>646</v>
      </c>
      <c r="B346" s="182" t="s">
        <v>1098</v>
      </c>
      <c r="C346" s="186" t="s">
        <v>876</v>
      </c>
      <c r="D346" s="230" t="s">
        <v>876</v>
      </c>
      <c r="E346" s="182" t="s">
        <v>1082</v>
      </c>
      <c r="F346" s="182" t="s">
        <v>646</v>
      </c>
      <c r="G346" s="182" t="s">
        <v>13177</v>
      </c>
      <c r="H346" s="183"/>
      <c r="I346" s="184" t="s">
        <v>1526</v>
      </c>
      <c r="J346" s="184" t="s">
        <v>1527</v>
      </c>
      <c r="K346" s="224"/>
      <c r="L346" s="224"/>
      <c r="M346" s="224"/>
      <c r="N346" s="224"/>
      <c r="O346" s="224" t="s">
        <v>16750</v>
      </c>
      <c r="P346" s="185"/>
      <c r="Q346" s="225"/>
      <c r="R346" s="182" t="str">
        <f ca="1">IF(ISERROR($V346),"",OFFSET('Smelter Look-up'!$C$4,$V346-4,0)&amp;"")</f>
        <v>Caridad</v>
      </c>
      <c r="S346" s="181" t="str">
        <f t="shared" ca="1" si="47"/>
        <v>MX</v>
      </c>
      <c r="T346" s="181" t="str">
        <f ca="1">IF(B346="","",IF(ISERROR(MATCH($J346,SorP!$B$1:$B$6226,0)),"",INDIRECT("'SorP'!$A$"&amp;MATCH($S346&amp;$J346,SorP!C:C,0))))</f>
        <v>MX-SON</v>
      </c>
      <c r="U346" s="201"/>
      <c r="V346" s="226">
        <f>IF(C346="",NA(),IF(OR(C346="Smelter not listed",C346="Smelter not yet identified"),MATCH($B346&amp;$D346,'Smelter Look-up'!$J:$J,0),MATCH($B346&amp;$C346,'Smelter Look-up'!$J:$J,0)))</f>
        <v>46</v>
      </c>
      <c r="X346" s="227">
        <f t="shared" si="48"/>
        <v>0</v>
      </c>
      <c r="AB346" s="228" t="str">
        <f t="shared" si="49"/>
        <v>GoldCaridad</v>
      </c>
    </row>
    <row r="347" spans="1:28" s="227" customFormat="1" ht="63.75">
      <c r="A347" s="181" t="s">
        <v>12882</v>
      </c>
      <c r="B347" s="182" t="s">
        <v>1099</v>
      </c>
      <c r="C347" s="186" t="s">
        <v>12881</v>
      </c>
      <c r="D347" s="230" t="s">
        <v>12881</v>
      </c>
      <c r="E347" s="182" t="s">
        <v>1083</v>
      </c>
      <c r="F347" s="182" t="s">
        <v>12882</v>
      </c>
      <c r="G347" s="182" t="s">
        <v>13177</v>
      </c>
      <c r="H347" s="183"/>
      <c r="I347" s="184" t="s">
        <v>8210</v>
      </c>
      <c r="J347" s="184" t="s">
        <v>8210</v>
      </c>
      <c r="K347" s="224"/>
      <c r="L347" s="224"/>
      <c r="M347" s="224"/>
      <c r="N347" s="224"/>
      <c r="O347" s="224" t="s">
        <v>16751</v>
      </c>
      <c r="P347" s="185"/>
      <c r="Q347" s="225"/>
      <c r="R347" s="182" t="str">
        <f ca="1">IF(ISERROR($V347),"",OFFSET('Smelter Look-up'!$C$4,$V347-4,0)&amp;"")</f>
        <v>Pongpipat Company Limited</v>
      </c>
      <c r="S347" s="181" t="str">
        <f t="shared" ca="1" si="47"/>
        <v>MM</v>
      </c>
      <c r="T347" s="181" t="str">
        <f ca="1">IF(B347="","",IF(ISERROR(MATCH($J347,SorP!$B$1:$B$6226,0)),"",INDIRECT("'SorP'!$A$"&amp;MATCH($S347&amp;$J347,SorP!C:C,0))))</f>
        <v>MM-06</v>
      </c>
      <c r="U347" s="201"/>
      <c r="V347" s="226">
        <f>IF(C347="",NA(),IF(OR(C347="Smelter not listed",C347="Smelter not yet identified"),MATCH($B347&amp;$D347,'Smelter Look-up'!$J:$J,0),MATCH($B347&amp;$C347,'Smelter Look-up'!$J:$J,0)))</f>
        <v>496</v>
      </c>
      <c r="X347" s="227">
        <f t="shared" si="48"/>
        <v>0</v>
      </c>
      <c r="AB347" s="228" t="str">
        <f t="shared" si="49"/>
        <v>TinPongpipat Company Limited</v>
      </c>
    </row>
    <row r="348" spans="1:28" s="227" customFormat="1" ht="51">
      <c r="A348" s="181" t="s">
        <v>16752</v>
      </c>
      <c r="B348" s="182" t="s">
        <v>1099</v>
      </c>
      <c r="C348" s="186" t="s">
        <v>16753</v>
      </c>
      <c r="D348" s="230" t="s">
        <v>16753</v>
      </c>
      <c r="E348" s="182" t="s">
        <v>1083</v>
      </c>
      <c r="F348" s="182" t="s">
        <v>16752</v>
      </c>
      <c r="G348" s="182" t="s">
        <v>13177</v>
      </c>
      <c r="H348" s="183" t="s">
        <v>16754</v>
      </c>
      <c r="I348" s="184" t="s">
        <v>8210</v>
      </c>
      <c r="J348" s="184" t="s">
        <v>8210</v>
      </c>
      <c r="K348" s="224" t="s">
        <v>16755</v>
      </c>
      <c r="L348" s="224" t="s">
        <v>16756</v>
      </c>
      <c r="M348" s="224" t="s">
        <v>15886</v>
      </c>
      <c r="N348" s="224" t="s">
        <v>16757</v>
      </c>
      <c r="O348" s="224" t="s">
        <v>16758</v>
      </c>
      <c r="P348" s="185" t="s">
        <v>476</v>
      </c>
      <c r="Q348" s="225"/>
      <c r="R348" s="182" t="str">
        <f ca="1">IF(ISERROR($V348),"",OFFSET('Smelter Look-up'!$C$4,$V348-4,0)&amp;"")</f>
        <v/>
      </c>
      <c r="S348" s="181" t="str">
        <f t="shared" ca="1" si="47"/>
        <v>MM</v>
      </c>
      <c r="T348" s="181" t="str">
        <f ca="1">IF(B348="","",IF(ISERROR(MATCH($J348,SorP!$B$1:$B$6226,0)),"",INDIRECT("'SorP'!$A$"&amp;MATCH($S348&amp;$J348,SorP!C:C,0))))</f>
        <v>MM-06</v>
      </c>
      <c r="U348" s="201"/>
      <c r="V348" s="226" t="e">
        <f>IF(C348="",NA(),IF(OR(C348="Smelter not listed",C348="Smelter not yet identified"),MATCH($B348&amp;$D348,'Smelter Look-up'!$J:$J,0),MATCH($B348&amp;$C348,'Smelter Look-up'!$J:$J,0)))</f>
        <v>#N/A</v>
      </c>
      <c r="X348" s="227">
        <f t="shared" si="48"/>
        <v>0</v>
      </c>
      <c r="AB348" s="228" t="str">
        <f t="shared" si="49"/>
        <v>TinDS Myanmar</v>
      </c>
    </row>
    <row r="349" spans="1:28" s="227" customFormat="1" ht="51">
      <c r="A349" s="181" t="s">
        <v>2268</v>
      </c>
      <c r="B349" s="182" t="s">
        <v>1098</v>
      </c>
      <c r="C349" s="186" t="s">
        <v>13704</v>
      </c>
      <c r="D349" s="230" t="s">
        <v>13704</v>
      </c>
      <c r="E349" s="182" t="s">
        <v>1085</v>
      </c>
      <c r="F349" s="182" t="s">
        <v>2268</v>
      </c>
      <c r="G349" s="182" t="s">
        <v>13177</v>
      </c>
      <c r="H349" s="183" t="s">
        <v>16759</v>
      </c>
      <c r="I349" s="184" t="s">
        <v>2301</v>
      </c>
      <c r="J349" s="184" t="s">
        <v>8844</v>
      </c>
      <c r="K349" s="224" t="s">
        <v>16760</v>
      </c>
      <c r="L349" s="224" t="s">
        <v>16761</v>
      </c>
      <c r="M349" s="224" t="s">
        <v>15875</v>
      </c>
      <c r="N349" s="224" t="s">
        <v>15827</v>
      </c>
      <c r="O349" s="224" t="s">
        <v>16762</v>
      </c>
      <c r="P349" s="185" t="s">
        <v>15949</v>
      </c>
      <c r="Q349" s="225" t="s">
        <v>15829</v>
      </c>
      <c r="R349" s="182" t="str">
        <f ca="1">IF(ISERROR($V349),"",OFFSET('Smelter Look-up'!$C$4,$V349-4,0)&amp;"")</f>
        <v>REMONDIS PMR B.V.</v>
      </c>
      <c r="S349" s="181" t="str">
        <f t="shared" ca="1" si="47"/>
        <v>NL</v>
      </c>
      <c r="T349" s="181" t="str">
        <f ca="1">IF(B349="","",IF(ISERROR(MATCH($J349,SorP!$B$1:$B$6226,0)),"",INDIRECT("'SorP'!$A$"&amp;MATCH($S349&amp;$J349,SorP!C:C,0))))</f>
        <v>NL-NB</v>
      </c>
      <c r="U349" s="201"/>
      <c r="V349" s="226">
        <f>IF(C349="",NA(),IF(OR(C349="Smelter not listed",C349="Smelter not yet identified"),MATCH($B349&amp;$D349,'Smelter Look-up'!$J:$J,0),MATCH($B349&amp;$C349,'Smelter Look-up'!$J:$J,0)))</f>
        <v>228</v>
      </c>
      <c r="X349" s="227">
        <f t="shared" si="48"/>
        <v>0</v>
      </c>
      <c r="AB349" s="228" t="str">
        <f t="shared" si="49"/>
        <v>GoldREMONDIS PMR B.V.</v>
      </c>
    </row>
    <row r="350" spans="1:28" s="227" customFormat="1" ht="25.5">
      <c r="A350" s="181" t="s">
        <v>2161</v>
      </c>
      <c r="B350" s="182" t="s">
        <v>1098</v>
      </c>
      <c r="C350" s="186" t="s">
        <v>2160</v>
      </c>
      <c r="D350" s="230" t="s">
        <v>2160</v>
      </c>
      <c r="E350" s="182" t="s">
        <v>1086</v>
      </c>
      <c r="F350" s="182" t="s">
        <v>2161</v>
      </c>
      <c r="G350" s="182" t="s">
        <v>13177</v>
      </c>
      <c r="H350" s="183"/>
      <c r="I350" s="184" t="s">
        <v>2264</v>
      </c>
      <c r="J350" s="184" t="s">
        <v>2162</v>
      </c>
      <c r="K350" s="224"/>
      <c r="L350" s="224"/>
      <c r="M350" s="224"/>
      <c r="N350" s="224"/>
      <c r="O350" s="224" t="s">
        <v>16763</v>
      </c>
      <c r="P350" s="185"/>
      <c r="Q350" s="225"/>
      <c r="R350" s="182" t="str">
        <f ca="1">IF(ISERROR($V350),"",OFFSET('Smelter Look-up'!$C$4,$V350-4,0)&amp;"")</f>
        <v>Morris and Watson</v>
      </c>
      <c r="S350" s="181" t="str">
        <f t="shared" ca="1" si="47"/>
        <v>NZ</v>
      </c>
      <c r="T350" s="181" t="str">
        <f ca="1">IF(B350="","",IF(ISERROR(MATCH($J350,SorP!$B$1:$B$6226,0)),"",INDIRECT("'SorP'!$A$"&amp;MATCH($S350&amp;$J350,SorP!C:C,0))))</f>
        <v>NZ-AUK</v>
      </c>
      <c r="U350" s="201"/>
      <c r="V350" s="226">
        <f>IF(C350="",NA(),IF(OR(C350="Smelter not listed",C350="Smelter not yet identified"),MATCH($B350&amp;$D350,'Smelter Look-up'!$J:$J,0),MATCH($B350&amp;$C350,'Smelter Look-up'!$J:$J,0)))</f>
        <v>195</v>
      </c>
      <c r="X350" s="227">
        <f t="shared" si="48"/>
        <v>0</v>
      </c>
      <c r="AB350" s="228" t="str">
        <f t="shared" si="49"/>
        <v>GoldMorris and Watson</v>
      </c>
    </row>
    <row r="351" spans="1:28" s="227" customFormat="1" ht="20.25">
      <c r="A351" s="181" t="s">
        <v>14931</v>
      </c>
      <c r="B351" s="182" t="s">
        <v>1098</v>
      </c>
      <c r="C351" s="186" t="s">
        <v>14930</v>
      </c>
      <c r="D351" s="230" t="s">
        <v>14930</v>
      </c>
      <c r="E351" s="182" t="s">
        <v>13030</v>
      </c>
      <c r="F351" s="182" t="s">
        <v>14931</v>
      </c>
      <c r="G351" s="182" t="s">
        <v>13177</v>
      </c>
      <c r="H351" s="183"/>
      <c r="I351" s="184" t="s">
        <v>14980</v>
      </c>
      <c r="J351" s="184" t="s">
        <v>16764</v>
      </c>
      <c r="K351" s="224"/>
      <c r="L351" s="224"/>
      <c r="M351" s="224"/>
      <c r="N351" s="224"/>
      <c r="O351" s="224" t="s">
        <v>16765</v>
      </c>
      <c r="P351" s="185"/>
      <c r="Q351" s="225"/>
      <c r="R351" s="182" t="str">
        <f ca="1">IF(ISERROR($V351),"",OFFSET('Smelter Look-up'!$C$4,$V351-4,0)&amp;"")</f>
        <v>K.A. Rasmussen</v>
      </c>
      <c r="S351" s="181" t="str">
        <f t="shared" ca="1" si="47"/>
        <v>NO</v>
      </c>
      <c r="T351" s="181" t="str">
        <f ca="1">IF(B351="","",IF(ISERROR(MATCH($J351,SorP!$B$1:$B$6226,0)),"",INDIRECT("'SorP'!$A$"&amp;MATCH($S351&amp;$J351,SorP!C:C,0))))</f>
        <v/>
      </c>
      <c r="U351" s="201"/>
      <c r="V351" s="226">
        <f>IF(C351="",NA(),IF(OR(C351="Smelter not listed",C351="Smelter not yet identified"),MATCH($B351&amp;$D351,'Smelter Look-up'!$J:$J,0),MATCH($B351&amp;$C351,'Smelter Look-up'!$J:$J,0)))</f>
        <v>138</v>
      </c>
      <c r="X351" s="227">
        <f t="shared" si="48"/>
        <v>0</v>
      </c>
      <c r="AB351" s="228" t="str">
        <f t="shared" si="49"/>
        <v>GoldK.A. Rasmussen</v>
      </c>
    </row>
    <row r="352" spans="1:28" s="227" customFormat="1" ht="114.75">
      <c r="A352" s="181" t="s">
        <v>754</v>
      </c>
      <c r="B352" s="182" t="s">
        <v>1099</v>
      </c>
      <c r="C352" s="186" t="s">
        <v>1003</v>
      </c>
      <c r="D352" s="230" t="s">
        <v>1003</v>
      </c>
      <c r="E352" s="182" t="s">
        <v>851</v>
      </c>
      <c r="F352" s="182" t="s">
        <v>754</v>
      </c>
      <c r="G352" s="182" t="s">
        <v>13177</v>
      </c>
      <c r="H352" s="183" t="s">
        <v>16766</v>
      </c>
      <c r="I352" s="184" t="s">
        <v>1743</v>
      </c>
      <c r="J352" s="184" t="s">
        <v>9062</v>
      </c>
      <c r="K352" s="224" t="s">
        <v>16767</v>
      </c>
      <c r="L352" s="224" t="s">
        <v>16768</v>
      </c>
      <c r="M352" s="224" t="s">
        <v>15826</v>
      </c>
      <c r="N352" s="224" t="s">
        <v>16769</v>
      </c>
      <c r="O352" s="224" t="s">
        <v>16770</v>
      </c>
      <c r="P352" s="185" t="s">
        <v>12407</v>
      </c>
      <c r="Q352" s="225" t="s">
        <v>15829</v>
      </c>
      <c r="R352" s="182" t="str">
        <f ca="1">IF(ISERROR($V352),"",OFFSET('Smelter Look-up'!$C$4,$V352-4,0)&amp;"")</f>
        <v>Minsur</v>
      </c>
      <c r="S352" s="181" t="str">
        <f t="shared" ca="1" si="47"/>
        <v>PE</v>
      </c>
      <c r="T352" s="181" t="str">
        <f ca="1">IF(B352="","",IF(ISERROR(MATCH($J352,SorP!$B$1:$B$6226,0)),"",INDIRECT("'SorP'!$A$"&amp;MATCH($S352&amp;$J352,SorP!C:C,0))))</f>
        <v>PE-ICA</v>
      </c>
      <c r="U352" s="201"/>
      <c r="V352" s="226">
        <f>IF(C352="",NA(),IF(OR(C352="Smelter not listed",C352="Smelter not yet identified"),MATCH($B352&amp;$D352,'Smelter Look-up'!$J:$J,0),MATCH($B352&amp;$C352,'Smelter Look-up'!$J:$J,0)))</f>
        <v>481</v>
      </c>
      <c r="X352" s="227">
        <f t="shared" si="48"/>
        <v>0</v>
      </c>
      <c r="AB352" s="228" t="str">
        <f t="shared" si="49"/>
        <v>TinMinsur</v>
      </c>
    </row>
    <row r="353" spans="1:28" s="227" customFormat="1" ht="20.25">
      <c r="A353" s="181" t="s">
        <v>16771</v>
      </c>
      <c r="B353" s="182" t="s">
        <v>1098</v>
      </c>
      <c r="C353" s="186" t="s">
        <v>16772</v>
      </c>
      <c r="D353" s="230" t="s">
        <v>16772</v>
      </c>
      <c r="E353" s="182" t="s">
        <v>851</v>
      </c>
      <c r="F353" s="182" t="s">
        <v>16771</v>
      </c>
      <c r="G353" s="182" t="s">
        <v>13177</v>
      </c>
      <c r="H353" s="183" t="s">
        <v>15840</v>
      </c>
      <c r="I353" s="184" t="s">
        <v>15840</v>
      </c>
      <c r="J353" s="184" t="s">
        <v>15840</v>
      </c>
      <c r="K353" s="224"/>
      <c r="L353" s="224"/>
      <c r="M353" s="224"/>
      <c r="N353" s="224"/>
      <c r="O353" s="224"/>
      <c r="P353" s="185"/>
      <c r="Q353" s="225"/>
      <c r="R353" s="182" t="str">
        <f ca="1">IF(ISERROR($V353),"",OFFSET('Smelter Look-up'!$C$4,$V353-4,0)&amp;"")</f>
        <v/>
      </c>
      <c r="S353" s="181" t="str">
        <f t="shared" ca="1" si="47"/>
        <v>PE</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si="48"/>
        <v>0</v>
      </c>
      <c r="AB353" s="228" t="str">
        <f t="shared" si="49"/>
        <v>GoldInca One (Chala One Plant)</v>
      </c>
    </row>
    <row r="354" spans="1:28" s="227" customFormat="1" ht="20.25">
      <c r="A354" s="181" t="s">
        <v>16773</v>
      </c>
      <c r="B354" s="182" t="s">
        <v>1098</v>
      </c>
      <c r="C354" s="186" t="s">
        <v>16774</v>
      </c>
      <c r="D354" s="230" t="s">
        <v>16774</v>
      </c>
      <c r="E354" s="182" t="s">
        <v>851</v>
      </c>
      <c r="F354" s="182" t="s">
        <v>16773</v>
      </c>
      <c r="G354" s="182" t="s">
        <v>13177</v>
      </c>
      <c r="H354" s="183" t="s">
        <v>15840</v>
      </c>
      <c r="I354" s="184" t="s">
        <v>15840</v>
      </c>
      <c r="J354" s="184" t="s">
        <v>15840</v>
      </c>
      <c r="K354" s="224"/>
      <c r="L354" s="224"/>
      <c r="M354" s="224"/>
      <c r="N354" s="224"/>
      <c r="O354" s="224"/>
      <c r="P354" s="185"/>
      <c r="Q354" s="225"/>
      <c r="R354" s="182" t="str">
        <f ca="1">IF(ISERROR($V354),"",OFFSET('Smelter Look-up'!$C$4,$V354-4,0)&amp;"")</f>
        <v/>
      </c>
      <c r="S354" s="181" t="str">
        <f t="shared" ca="1" si="47"/>
        <v>PE</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si="48"/>
        <v>0</v>
      </c>
      <c r="AB354" s="228" t="str">
        <f t="shared" si="49"/>
        <v>GoldInca One (Koricancha Plant)</v>
      </c>
    </row>
    <row r="355" spans="1:28" s="227" customFormat="1" ht="76.5">
      <c r="A355" s="181" t="s">
        <v>642</v>
      </c>
      <c r="B355" s="182" t="s">
        <v>1098</v>
      </c>
      <c r="C355" s="186" t="s">
        <v>875</v>
      </c>
      <c r="D355" s="230" t="s">
        <v>875</v>
      </c>
      <c r="E355" s="182" t="s">
        <v>852</v>
      </c>
      <c r="F355" s="182" t="s">
        <v>642</v>
      </c>
      <c r="G355" s="182" t="s">
        <v>13177</v>
      </c>
      <c r="H355" s="183"/>
      <c r="I355" s="184" t="s">
        <v>2154</v>
      </c>
      <c r="J355" s="184" t="s">
        <v>9394</v>
      </c>
      <c r="K355" s="224" t="s">
        <v>16775</v>
      </c>
      <c r="L355" s="224" t="s">
        <v>16776</v>
      </c>
      <c r="M355" s="224" t="s">
        <v>15833</v>
      </c>
      <c r="N355" s="224" t="s">
        <v>15827</v>
      </c>
      <c r="O355" s="224" t="s">
        <v>16777</v>
      </c>
      <c r="P355" s="185" t="s">
        <v>12407</v>
      </c>
      <c r="Q355" s="225" t="s">
        <v>15829</v>
      </c>
      <c r="R355" s="182" t="str">
        <f ca="1">IF(ISERROR($V355),"",OFFSET('Smelter Look-up'!$C$4,$V355-4,0)&amp;"")</f>
        <v>Bangko Sentral ng Pilipinas (Central Bank of the Philippines)</v>
      </c>
      <c r="S355" s="181" t="str">
        <f t="shared" ca="1" si="47"/>
        <v>PH</v>
      </c>
      <c r="T355" s="181" t="str">
        <f ca="1">IF(B355="","",IF(ISERROR(MATCH($J355,SorP!$B$1:$B$6226,0)),"",INDIRECT("'SorP'!$A$"&amp;MATCH($S355&amp;$J355,SorP!C:C,0))))</f>
        <v>PH-RIZ</v>
      </c>
      <c r="U355" s="201"/>
      <c r="V355" s="226">
        <f>IF(C355="",NA(),IF(OR(C355="Smelter not listed",C355="Smelter not yet identified"),MATCH($B355&amp;$D355,'Smelter Look-up'!$J:$J,0),MATCH($B355&amp;$C355,'Smelter Look-up'!$J:$J,0)))</f>
        <v>43</v>
      </c>
      <c r="X355" s="227">
        <f t="shared" si="48"/>
        <v>0</v>
      </c>
      <c r="AB355" s="228" t="str">
        <f t="shared" si="49"/>
        <v>GoldBangko Sentral ng Pilipinas (Central Bank of the Philippines)</v>
      </c>
    </row>
    <row r="356" spans="1:28" s="227" customFormat="1" ht="76.5">
      <c r="A356" s="181" t="s">
        <v>1366</v>
      </c>
      <c r="B356" s="182" t="s">
        <v>1099</v>
      </c>
      <c r="C356" s="186" t="s">
        <v>1365</v>
      </c>
      <c r="D356" s="230" t="s">
        <v>1365</v>
      </c>
      <c r="E356" s="182" t="s">
        <v>852</v>
      </c>
      <c r="F356" s="182" t="s">
        <v>1366</v>
      </c>
      <c r="G356" s="182" t="s">
        <v>13177</v>
      </c>
      <c r="H356" s="183" t="s">
        <v>16778</v>
      </c>
      <c r="I356" s="184" t="s">
        <v>12887</v>
      </c>
      <c r="J356" s="184" t="s">
        <v>9398</v>
      </c>
      <c r="K356" s="224" t="s">
        <v>16779</v>
      </c>
      <c r="L356" s="224" t="s">
        <v>16780</v>
      </c>
      <c r="M356" s="224" t="s">
        <v>15826</v>
      </c>
      <c r="N356" s="224" t="s">
        <v>15917</v>
      </c>
      <c r="O356" s="224" t="s">
        <v>16781</v>
      </c>
      <c r="P356" s="185" t="s">
        <v>12407</v>
      </c>
      <c r="Q356" s="225" t="s">
        <v>15829</v>
      </c>
      <c r="R356" s="182" t="str">
        <f ca="1">IF(ISERROR($V356),"",OFFSET('Smelter Look-up'!$C$4,$V356-4,0)&amp;"")</f>
        <v>O.M. Manufacturing Philippines, Inc.</v>
      </c>
      <c r="S356" s="181" t="str">
        <f t="shared" ca="1" si="47"/>
        <v>PH</v>
      </c>
      <c r="T356" s="181" t="str">
        <f ca="1">IF(B356="","",IF(ISERROR(MATCH($J356,SorP!$B$1:$B$6226,0)),"",INDIRECT("'SorP'!$A$"&amp;MATCH($S356&amp;$J356,SorP!C:C,0))))</f>
        <v>PH-CAV</v>
      </c>
      <c r="U356" s="201"/>
      <c r="V356" s="226">
        <f>IF(C356="",NA(),IF(OR(C356="Smelter not listed",C356="Smelter not yet identified"),MATCH($B356&amp;$D356,'Smelter Look-up'!$J:$J,0),MATCH($B356&amp;$C356,'Smelter Look-up'!$J:$J,0)))</f>
        <v>491</v>
      </c>
      <c r="X356" s="227">
        <f t="shared" si="48"/>
        <v>0</v>
      </c>
      <c r="AB356" s="228" t="str">
        <f t="shared" si="49"/>
        <v>TinO.M. Manufacturing Philippines, Inc.</v>
      </c>
    </row>
    <row r="357" spans="1:28" s="227" customFormat="1" ht="63.75">
      <c r="A357" s="181" t="s">
        <v>2225</v>
      </c>
      <c r="B357" s="182" t="s">
        <v>1101</v>
      </c>
      <c r="C357" s="186" t="s">
        <v>2295</v>
      </c>
      <c r="D357" s="230" t="s">
        <v>2295</v>
      </c>
      <c r="E357" s="182" t="s">
        <v>852</v>
      </c>
      <c r="F357" s="182" t="s">
        <v>2225</v>
      </c>
      <c r="G357" s="182"/>
      <c r="H357" s="183" t="s">
        <v>16782</v>
      </c>
      <c r="I357" s="184" t="s">
        <v>2226</v>
      </c>
      <c r="J357" s="184" t="s">
        <v>2227</v>
      </c>
      <c r="K357" s="224" t="s">
        <v>16783</v>
      </c>
      <c r="L357" s="224" t="s">
        <v>16784</v>
      </c>
      <c r="M357" s="224" t="s">
        <v>15875</v>
      </c>
      <c r="N357" s="224" t="s">
        <v>16785</v>
      </c>
      <c r="O357" s="224" t="s">
        <v>16786</v>
      </c>
      <c r="P357" s="185" t="s">
        <v>476</v>
      </c>
      <c r="Q357" s="225" t="s">
        <v>15829</v>
      </c>
      <c r="R357" s="182" t="str">
        <f ca="1">IF(ISERROR($V357),"",OFFSET('Smelter Look-up'!$C$4,$V357-4,0)&amp;"")</f>
        <v>Philippine Chuangxin Industrial Co., Inc.</v>
      </c>
      <c r="S357" s="181" t="str">
        <f t="shared" ca="1" si="47"/>
        <v>PH</v>
      </c>
      <c r="T357" s="181" t="str">
        <f ca="1">IF(B357="","",IF(ISERROR(MATCH($J357,SorP!$B$1:$B$6226,0)),"",INDIRECT("'SorP'!$A$"&amp;MATCH($S357&amp;$J357,SorP!C:C,0))))</f>
        <v>PH-BUL</v>
      </c>
      <c r="U357" s="201"/>
      <c r="V357" s="226">
        <f>IF(C357="",NA(),IF(OR(C357="Smelter not listed",C357="Smelter not yet identified"),MATCH($B357&amp;$D357,'Smelter Look-up'!$J:$J,0),MATCH($B357&amp;$C357,'Smelter Look-up'!$J:$J,0)))</f>
        <v>623</v>
      </c>
      <c r="X357" s="227">
        <f t="shared" si="48"/>
        <v>0</v>
      </c>
      <c r="AB357" s="228" t="str">
        <f t="shared" si="49"/>
        <v>TungstenPhilippine Chuangxin Industrial Co., Inc.</v>
      </c>
    </row>
    <row r="358" spans="1:28" s="227" customFormat="1" ht="20.25">
      <c r="A358" s="181" t="s">
        <v>15656</v>
      </c>
      <c r="B358" s="182" t="s">
        <v>1101</v>
      </c>
      <c r="C358" s="186" t="s">
        <v>15655</v>
      </c>
      <c r="D358" s="230" t="s">
        <v>15655</v>
      </c>
      <c r="E358" s="182" t="s">
        <v>852</v>
      </c>
      <c r="F358" s="182" t="s">
        <v>15656</v>
      </c>
      <c r="G358" s="182" t="s">
        <v>13177</v>
      </c>
      <c r="H358" s="183"/>
      <c r="I358" s="184" t="s">
        <v>15663</v>
      </c>
      <c r="J358" s="184" t="s">
        <v>9175</v>
      </c>
      <c r="K358" s="224"/>
      <c r="L358" s="224"/>
      <c r="M358" s="224"/>
      <c r="N358" s="224"/>
      <c r="O358" s="224"/>
      <c r="P358" s="185"/>
      <c r="Q358" s="225"/>
      <c r="R358" s="182" t="str">
        <f ca="1">IF(ISERROR($V358),"",OFFSET('Smelter Look-up'!$C$4,$V358-4,0)&amp;"")</f>
        <v>Philippine Carreytech Metal Corp.</v>
      </c>
      <c r="S358" s="181" t="str">
        <f t="shared" ref="S358:S388" ca="1" si="50">IF(B358="","",IF(ISERROR(MATCH($E358,CL,0)),"Unknown",INDIRECT("'C'!$A$"&amp;MATCH($E358,CL,0)+1)))</f>
        <v>PH</v>
      </c>
      <c r="T358" s="181" t="str">
        <f ca="1">IF(B358="","",IF(ISERROR(MATCH($J358,SorP!$B$1:$B$6226,0)),"",INDIRECT("'SorP'!$A$"&amp;MATCH($S358&amp;$J358,SorP!C:C,0))))</f>
        <v>PH-PAM</v>
      </c>
      <c r="U358" s="201"/>
      <c r="V358" s="226">
        <f>IF(C358="",NA(),IF(OR(C358="Smelter not listed",C358="Smelter not yet identified"),MATCH($B358&amp;$D358,'Smelter Look-up'!$J:$J,0),MATCH($B358&amp;$C358,'Smelter Look-up'!$J:$J,0)))</f>
        <v>622</v>
      </c>
      <c r="X358" s="227">
        <f t="shared" ref="X358:X388" si="51">IF(AND(C358="Smelter not listed",OR(LEN(D358)=0,LEN(E358)=0)),1,0)</f>
        <v>0</v>
      </c>
      <c r="AB358" s="228" t="str">
        <f t="shared" ref="AB358:AB388" si="52">B358&amp;C358</f>
        <v>TungstenPhilippine Carreytech Metal Corp.</v>
      </c>
    </row>
    <row r="359" spans="1:28" s="227" customFormat="1" ht="25.5">
      <c r="A359" s="181" t="s">
        <v>15654</v>
      </c>
      <c r="B359" s="182" t="s">
        <v>1101</v>
      </c>
      <c r="C359" s="186" t="s">
        <v>15653</v>
      </c>
      <c r="D359" s="230" t="s">
        <v>15653</v>
      </c>
      <c r="E359" s="182" t="s">
        <v>852</v>
      </c>
      <c r="F359" s="182" t="s">
        <v>15654</v>
      </c>
      <c r="G359" s="182" t="s">
        <v>13177</v>
      </c>
      <c r="H359" s="183"/>
      <c r="I359" s="184" t="s">
        <v>15663</v>
      </c>
      <c r="J359" s="184" t="s">
        <v>9175</v>
      </c>
      <c r="K359" s="224"/>
      <c r="L359" s="224"/>
      <c r="M359" s="224"/>
      <c r="N359" s="224"/>
      <c r="O359" s="224"/>
      <c r="P359" s="185"/>
      <c r="Q359" s="225"/>
      <c r="R359" s="182" t="str">
        <f ca="1">IF(ISERROR($V359),"",OFFSET('Smelter Look-up'!$C$4,$V359-4,0)&amp;"")</f>
        <v>Philippine Bonway Manufacturing Industrial Corporation</v>
      </c>
      <c r="S359" s="181" t="str">
        <f t="shared" ca="1" si="50"/>
        <v>PH</v>
      </c>
      <c r="T359" s="181" t="str">
        <f ca="1">IF(B359="","",IF(ISERROR(MATCH($J359,SorP!$B$1:$B$6226,0)),"",INDIRECT("'SorP'!$A$"&amp;MATCH($S359&amp;$J359,SorP!C:C,0))))</f>
        <v>PH-PAM</v>
      </c>
      <c r="U359" s="201"/>
      <c r="V359" s="226">
        <f>IF(C359="",NA(),IF(OR(C359="Smelter not listed",C359="Smelter not yet identified"),MATCH($B359&amp;$D359,'Smelter Look-up'!$J:$J,0),MATCH($B359&amp;$C359,'Smelter Look-up'!$J:$J,0)))</f>
        <v>621</v>
      </c>
      <c r="X359" s="227">
        <f t="shared" si="51"/>
        <v>0</v>
      </c>
      <c r="AB359" s="228" t="str">
        <f t="shared" si="52"/>
        <v>TungstenPhilippine Bonway Manufacturing Industrial Corporation</v>
      </c>
    </row>
    <row r="360" spans="1:28" s="227" customFormat="1" ht="25.5">
      <c r="A360" s="181" t="s">
        <v>747</v>
      </c>
      <c r="B360" s="182" t="s">
        <v>1099</v>
      </c>
      <c r="C360" s="186" t="s">
        <v>788</v>
      </c>
      <c r="D360" s="230" t="s">
        <v>788</v>
      </c>
      <c r="E360" s="182" t="s">
        <v>853</v>
      </c>
      <c r="F360" s="182" t="s">
        <v>747</v>
      </c>
      <c r="G360" s="182" t="s">
        <v>13177</v>
      </c>
      <c r="H360" s="183" t="s">
        <v>16787</v>
      </c>
      <c r="I360" s="184" t="s">
        <v>1730</v>
      </c>
      <c r="J360" s="184" t="s">
        <v>9448</v>
      </c>
      <c r="K360" s="224" t="s">
        <v>16788</v>
      </c>
      <c r="L360" s="224" t="s">
        <v>16789</v>
      </c>
      <c r="M360" s="224" t="s">
        <v>15875</v>
      </c>
      <c r="N360" s="224"/>
      <c r="O360" s="224" t="s">
        <v>16790</v>
      </c>
      <c r="P360" s="185" t="s">
        <v>475</v>
      </c>
      <c r="Q360" s="225" t="s">
        <v>15829</v>
      </c>
      <c r="R360" s="182" t="str">
        <f ca="1">IF(ISERROR($V360),"",OFFSET('Smelter Look-up'!$C$4,$V360-4,0)&amp;"")</f>
        <v>Fenix Metals</v>
      </c>
      <c r="S360" s="181" t="str">
        <f t="shared" ca="1" si="50"/>
        <v>PL</v>
      </c>
      <c r="T360" s="181" t="str">
        <f ca="1">IF(B360="","",IF(ISERROR(MATCH($J360,SorP!$B$1:$B$6226,0)),"",INDIRECT("'SorP'!$A$"&amp;MATCH($S360&amp;$J360,SorP!C:C,0))))</f>
        <v>PL-18</v>
      </c>
      <c r="U360" s="201"/>
      <c r="V360" s="226">
        <f>IF(C360="",NA(),IF(OR(C360="Smelter not listed",C360="Smelter not yet identified"),MATCH($B360&amp;$D360,'Smelter Look-up'!$J:$J,0),MATCH($B360&amp;$C360,'Smelter Look-up'!$J:$J,0)))</f>
        <v>437</v>
      </c>
      <c r="X360" s="227">
        <f t="shared" si="51"/>
        <v>0</v>
      </c>
      <c r="AB360" s="228" t="str">
        <f t="shared" si="52"/>
        <v>TinFenix Metals</v>
      </c>
    </row>
    <row r="361" spans="1:28" s="227" customFormat="1" ht="165.75">
      <c r="A361" s="181" t="s">
        <v>1354</v>
      </c>
      <c r="B361" s="182" t="s">
        <v>1098</v>
      </c>
      <c r="C361" s="186" t="s">
        <v>12653</v>
      </c>
      <c r="D361" s="230" t="s">
        <v>12653</v>
      </c>
      <c r="E361" s="182" t="s">
        <v>853</v>
      </c>
      <c r="F361" s="182" t="s">
        <v>1354</v>
      </c>
      <c r="G361" s="182" t="s">
        <v>13177</v>
      </c>
      <c r="H361" s="183" t="s">
        <v>16791</v>
      </c>
      <c r="I361" s="184" t="s">
        <v>1661</v>
      </c>
      <c r="J361" s="184" t="s">
        <v>9441</v>
      </c>
      <c r="K361" s="224" t="s">
        <v>16792</v>
      </c>
      <c r="L361" s="224" t="s">
        <v>16793</v>
      </c>
      <c r="M361" s="224" t="s">
        <v>15869</v>
      </c>
      <c r="N361" s="224" t="s">
        <v>15827</v>
      </c>
      <c r="O361" s="224" t="s">
        <v>16794</v>
      </c>
      <c r="P361" s="185" t="s">
        <v>12407</v>
      </c>
      <c r="Q361" s="225" t="s">
        <v>15829</v>
      </c>
      <c r="R361" s="182" t="str">
        <f ca="1">IF(ISERROR($V361),"",OFFSET('Smelter Look-up'!$C$4,$V361-4,0)&amp;"")</f>
        <v>KGHM Polska Miedz Spolka Akcyjna</v>
      </c>
      <c r="S361" s="181" t="str">
        <f t="shared" ca="1" si="50"/>
        <v>PL</v>
      </c>
      <c r="T361" s="181" t="str">
        <f ca="1">IF(B361="","",IF(ISERROR(MATCH($J361,SorP!$B$1:$B$6226,0)),"",INDIRECT("'SorP'!$A$"&amp;MATCH($S361&amp;$J361,SorP!C:C,0))))</f>
        <v>PL-02</v>
      </c>
      <c r="U361" s="201"/>
      <c r="V361" s="226">
        <f>IF(C361="",NA(),IF(OR(C361="Smelter not listed",C361="Smelter not yet identified"),MATCH($B361&amp;$D361,'Smelter Look-up'!$J:$J,0),MATCH($B361&amp;$C361,'Smelter Look-up'!$J:$J,0)))</f>
        <v>144</v>
      </c>
      <c r="X361" s="227">
        <f t="shared" si="51"/>
        <v>0</v>
      </c>
      <c r="AB361" s="228" t="str">
        <f t="shared" si="52"/>
        <v>GoldKGHM Polska Miedz Spolka Akcyjna</v>
      </c>
    </row>
    <row r="362" spans="1:28" s="227" customFormat="1" ht="20.25">
      <c r="A362" s="181" t="s">
        <v>15278</v>
      </c>
      <c r="B362" s="182" t="s">
        <v>1098</v>
      </c>
      <c r="C362" s="186" t="s">
        <v>15277</v>
      </c>
      <c r="D362" s="230" t="s">
        <v>15277</v>
      </c>
      <c r="E362" s="182" t="s">
        <v>13043</v>
      </c>
      <c r="F362" s="182" t="s">
        <v>15278</v>
      </c>
      <c r="G362" s="182" t="s">
        <v>13177</v>
      </c>
      <c r="H362" s="183"/>
      <c r="I362" s="184" t="s">
        <v>15279</v>
      </c>
      <c r="J362" s="184" t="s">
        <v>9531</v>
      </c>
      <c r="K362" s="224"/>
      <c r="L362" s="224"/>
      <c r="M362" s="224"/>
      <c r="N362" s="224"/>
      <c r="O362" s="224"/>
      <c r="P362" s="185"/>
      <c r="Q362" s="225"/>
      <c r="R362" s="182" t="str">
        <f ca="1">IF(ISERROR($V362),"",OFFSET('Smelter Look-up'!$C$4,$V362-4,0)&amp;"")</f>
        <v>Albino Mountinho Lda.</v>
      </c>
      <c r="S362" s="181" t="str">
        <f t="shared" ca="1" si="50"/>
        <v>PT</v>
      </c>
      <c r="T362" s="181" t="str">
        <f ca="1">IF(B362="","",IF(ISERROR(MATCH($J362,SorP!$B$1:$B$6226,0)),"",INDIRECT("'SorP'!$A$"&amp;MATCH($S362&amp;$J362,SorP!C:C,0))))</f>
        <v>PT-13</v>
      </c>
      <c r="U362" s="201"/>
      <c r="V362" s="226">
        <f>IF(C362="",NA(),IF(OR(C362="Smelter not listed",C362="Smelter not yet identified"),MATCH($B362&amp;$D362,'Smelter Look-up'!$J:$J,0),MATCH($B362&amp;$C362,'Smelter Look-up'!$J:$J,0)))</f>
        <v>17</v>
      </c>
      <c r="X362" s="227">
        <f t="shared" si="51"/>
        <v>0</v>
      </c>
      <c r="AB362" s="228" t="str">
        <f t="shared" si="52"/>
        <v>GoldAlbino Mountinho Lda.</v>
      </c>
    </row>
    <row r="363" spans="1:28" s="227" customFormat="1" ht="25.5">
      <c r="A363" s="181" t="s">
        <v>13774</v>
      </c>
      <c r="B363" s="182" t="s">
        <v>1099</v>
      </c>
      <c r="C363" s="186" t="s">
        <v>13760</v>
      </c>
      <c r="D363" s="230" t="s">
        <v>13760</v>
      </c>
      <c r="E363" s="182" t="s">
        <v>13050</v>
      </c>
      <c r="F363" s="182" t="s">
        <v>13774</v>
      </c>
      <c r="G363" s="182" t="s">
        <v>13177</v>
      </c>
      <c r="H363" s="183" t="s">
        <v>16795</v>
      </c>
      <c r="I363" s="184" t="s">
        <v>13785</v>
      </c>
      <c r="J363" s="184" t="s">
        <v>10012</v>
      </c>
      <c r="K363" s="224" t="s">
        <v>16796</v>
      </c>
      <c r="L363" s="224" t="s">
        <v>16797</v>
      </c>
      <c r="M363" s="224" t="s">
        <v>15826</v>
      </c>
      <c r="N363" s="224" t="s">
        <v>15827</v>
      </c>
      <c r="O363" s="224" t="s">
        <v>16798</v>
      </c>
      <c r="P363" s="185" t="s">
        <v>12407</v>
      </c>
      <c r="Q363" s="225" t="s">
        <v>15829</v>
      </c>
      <c r="R363" s="182" t="str">
        <f ca="1">IF(ISERROR($V363),"",OFFSET('Smelter Look-up'!$C$4,$V363-4,0)&amp;"")</f>
        <v>Luna Smelter, Ltd.</v>
      </c>
      <c r="S363" s="181" t="str">
        <f t="shared" ca="1" si="50"/>
        <v>RW</v>
      </c>
      <c r="T363" s="181" t="str">
        <f ca="1">IF(B363="","",IF(ISERROR(MATCH($J363,SorP!$B$1:$B$6226,0)),"",INDIRECT("'SorP'!$A$"&amp;MATCH($S363&amp;$J363,SorP!C:C,0))))</f>
        <v>RW-01</v>
      </c>
      <c r="U363" s="201"/>
      <c r="V363" s="226">
        <f>IF(C363="",NA(),IF(OR(C363="Smelter not listed",C363="Smelter not yet identified"),MATCH($B363&amp;$D363,'Smelter Look-up'!$J:$J,0),MATCH($B363&amp;$C363,'Smelter Look-up'!$J:$J,0)))</f>
        <v>465</v>
      </c>
      <c r="X363" s="227">
        <f t="shared" si="51"/>
        <v>0</v>
      </c>
      <c r="AB363" s="228" t="str">
        <f t="shared" si="52"/>
        <v>TinLuna Smelter, Ltd.</v>
      </c>
    </row>
    <row r="364" spans="1:28" s="227" customFormat="1" ht="20.25">
      <c r="A364" s="181" t="s">
        <v>15340</v>
      </c>
      <c r="B364" s="182" t="s">
        <v>1100</v>
      </c>
      <c r="C364" s="186" t="s">
        <v>15339</v>
      </c>
      <c r="D364" s="230" t="s">
        <v>15339</v>
      </c>
      <c r="E364" s="182" t="s">
        <v>13050</v>
      </c>
      <c r="F364" s="182" t="s">
        <v>15340</v>
      </c>
      <c r="G364" s="182" t="s">
        <v>13177</v>
      </c>
      <c r="H364" s="183"/>
      <c r="I364" s="184" t="s">
        <v>15622</v>
      </c>
      <c r="J364" s="184" t="s">
        <v>4812</v>
      </c>
      <c r="K364" s="224" t="s">
        <v>16799</v>
      </c>
      <c r="L364" s="224" t="s">
        <v>16800</v>
      </c>
      <c r="M364" s="224"/>
      <c r="N364" s="224" t="s">
        <v>15827</v>
      </c>
      <c r="O364" s="224" t="s">
        <v>13050</v>
      </c>
      <c r="P364" s="185" t="s">
        <v>12407</v>
      </c>
      <c r="Q364" s="225" t="s">
        <v>15829</v>
      </c>
      <c r="R364" s="182" t="str">
        <f ca="1">IF(ISERROR($V364),"",OFFSET('Smelter Look-up'!$C$4,$V364-4,0)&amp;"")</f>
        <v>PowerX Ltd.</v>
      </c>
      <c r="S364" s="181" t="str">
        <f t="shared" ca="1" si="50"/>
        <v>RW</v>
      </c>
      <c r="T364" s="181" t="str">
        <f ca="1">IF(B364="","",IF(ISERROR(MATCH($J364,SorP!$B$1:$B$6226,0)),"",INDIRECT("'SorP'!$A$"&amp;MATCH($S364&amp;$J364,SorP!C:C,0))))</f>
        <v>RW-02</v>
      </c>
      <c r="U364" s="201"/>
      <c r="V364" s="226">
        <f>IF(C364="",NA(),IF(OR(C364="Smelter not listed",C364="Smelter not yet identified"),MATCH($B364&amp;$D364,'Smelter Look-up'!$J:$J,0),MATCH($B364&amp;$C364,'Smelter Look-up'!$J:$J,0)))</f>
        <v>372</v>
      </c>
      <c r="X364" s="227">
        <f t="shared" si="51"/>
        <v>0</v>
      </c>
      <c r="AB364" s="228" t="str">
        <f t="shared" si="52"/>
        <v>TantalumPowerX Ltd.</v>
      </c>
    </row>
    <row r="365" spans="1:28" s="227" customFormat="1" ht="38.25">
      <c r="A365" s="181" t="s">
        <v>679</v>
      </c>
      <c r="B365" s="182" t="s">
        <v>1098</v>
      </c>
      <c r="C365" s="186" t="s">
        <v>2255</v>
      </c>
      <c r="D365" s="230" t="s">
        <v>2255</v>
      </c>
      <c r="E365" s="182" t="s">
        <v>855</v>
      </c>
      <c r="F365" s="182" t="s">
        <v>679</v>
      </c>
      <c r="G365" s="182" t="s">
        <v>13177</v>
      </c>
      <c r="H365" s="183"/>
      <c r="I365" s="184" t="s">
        <v>1577</v>
      </c>
      <c r="J365" s="184" t="s">
        <v>10034</v>
      </c>
      <c r="K365" s="224"/>
      <c r="L365" s="224"/>
      <c r="M365" s="224"/>
      <c r="N365" s="224"/>
      <c r="O365" s="224" t="s">
        <v>16801</v>
      </c>
      <c r="P365" s="185"/>
      <c r="Q365" s="225"/>
      <c r="R365" s="182" t="str">
        <f ca="1">IF(ISERROR($V365),"",OFFSET('Smelter Look-up'!$C$4,$V365-4,0)&amp;"")</f>
        <v>L'azurde Company For Jewelry</v>
      </c>
      <c r="S365" s="181" t="str">
        <f t="shared" ca="1" si="50"/>
        <v>SA</v>
      </c>
      <c r="T365" s="181" t="str">
        <f ca="1">IF(B365="","",IF(ISERROR(MATCH($J365,SorP!$B$1:$B$6226,0)),"",INDIRECT("'SorP'!$A$"&amp;MATCH($S365&amp;$J365,SorP!C:C,0))))</f>
        <v>SA-01</v>
      </c>
      <c r="U365" s="201"/>
      <c r="V365" s="226">
        <f>IF(C365="",NA(),IF(OR(C365="Smelter not listed",C365="Smelter not yet identified"),MATCH($B365&amp;$D365,'Smelter Look-up'!$J:$J,0),MATCH($B365&amp;$C365,'Smelter Look-up'!$J:$J,0)))</f>
        <v>158</v>
      </c>
      <c r="X365" s="227">
        <f t="shared" si="51"/>
        <v>0</v>
      </c>
      <c r="AB365" s="228" t="str">
        <f t="shared" si="52"/>
        <v>GoldL'azurde Company For Jewelry</v>
      </c>
    </row>
    <row r="366" spans="1:28" s="227" customFormat="1" ht="25.5">
      <c r="A366" s="181" t="s">
        <v>687</v>
      </c>
      <c r="B366" s="182" t="s">
        <v>1098</v>
      </c>
      <c r="C366" s="186" t="s">
        <v>2106</v>
      </c>
      <c r="D366" s="230" t="s">
        <v>2106</v>
      </c>
      <c r="E366" s="182" t="s">
        <v>857</v>
      </c>
      <c r="F366" s="182" t="s">
        <v>687</v>
      </c>
      <c r="G366" s="182" t="s">
        <v>13177</v>
      </c>
      <c r="H366" s="183" t="s">
        <v>16802</v>
      </c>
      <c r="I366" s="184" t="s">
        <v>12670</v>
      </c>
      <c r="J366" s="184" t="s">
        <v>10242</v>
      </c>
      <c r="K366" s="224" t="s">
        <v>16009</v>
      </c>
      <c r="L366" s="224" t="s">
        <v>16010</v>
      </c>
      <c r="M366" s="224" t="s">
        <v>15826</v>
      </c>
      <c r="N366" s="224"/>
      <c r="O366" s="224" t="s">
        <v>16603</v>
      </c>
      <c r="P366" s="185" t="s">
        <v>476</v>
      </c>
      <c r="Q366" s="225" t="s">
        <v>15829</v>
      </c>
      <c r="R366" s="182" t="str">
        <f ca="1">IF(ISERROR($V366),"",OFFSET('Smelter Look-up'!$C$4,$V366-4,0)&amp;"")</f>
        <v>Metalor Technologies (Singapore) Pte., Ltd.</v>
      </c>
      <c r="S366" s="181" t="str">
        <f t="shared" ca="1" si="50"/>
        <v>SG</v>
      </c>
      <c r="T366" s="181" t="str">
        <f ca="1">IF(B366="","",IF(ISERROR(MATCH($J366,SorP!$B$1:$B$6226,0)),"",INDIRECT("'SorP'!$A$"&amp;MATCH($S366&amp;$J366,SorP!C:C,0))))</f>
        <v>SG-05</v>
      </c>
      <c r="U366" s="201"/>
      <c r="V366" s="226">
        <f>IF(C366="",NA(),IF(OR(C366="Smelter not listed",C366="Smelter not yet identified"),MATCH($B366&amp;$D366,'Smelter Look-up'!$J:$J,0),MATCH($B366&amp;$C366,'Smelter Look-up'!$J:$J,0)))</f>
        <v>179</v>
      </c>
      <c r="X366" s="227">
        <f t="shared" si="51"/>
        <v>0</v>
      </c>
      <c r="AB366" s="228" t="str">
        <f t="shared" si="52"/>
        <v>GoldMetalor Technologies (Singapore) Pte., Ltd.</v>
      </c>
    </row>
    <row r="367" spans="1:28" s="227" customFormat="1" ht="102">
      <c r="A367" s="181" t="s">
        <v>704</v>
      </c>
      <c r="B367" s="182" t="s">
        <v>1098</v>
      </c>
      <c r="C367" s="186" t="s">
        <v>2112</v>
      </c>
      <c r="D367" s="230" t="s">
        <v>2112</v>
      </c>
      <c r="E367" s="182" t="s">
        <v>864</v>
      </c>
      <c r="F367" s="182" t="s">
        <v>704</v>
      </c>
      <c r="G367" s="182" t="s">
        <v>13177</v>
      </c>
      <c r="H367" s="183" t="s">
        <v>16803</v>
      </c>
      <c r="I367" s="184" t="s">
        <v>1609</v>
      </c>
      <c r="J367" s="184" t="s">
        <v>1610</v>
      </c>
      <c r="K367" s="224" t="s">
        <v>16804</v>
      </c>
      <c r="L367" s="224" t="s">
        <v>16805</v>
      </c>
      <c r="M367" s="224" t="s">
        <v>15826</v>
      </c>
      <c r="N367" s="224" t="s">
        <v>15827</v>
      </c>
      <c r="O367" s="224" t="s">
        <v>16806</v>
      </c>
      <c r="P367" s="185" t="s">
        <v>12407</v>
      </c>
      <c r="Q367" s="225" t="s">
        <v>15829</v>
      </c>
      <c r="R367" s="182" t="str">
        <f ca="1">IF(ISERROR($V367),"",OFFSET('Smelter Look-up'!$C$4,$V367-4,0)&amp;"")</f>
        <v>Rand Refinery (Pty) Ltd.</v>
      </c>
      <c r="S367" s="181" t="str">
        <f t="shared" ca="1" si="50"/>
        <v>ZA</v>
      </c>
      <c r="T367" s="181" t="str">
        <f ca="1">IF(B367="","",IF(ISERROR(MATCH($J367,SorP!$B$1:$B$6226,0)),"",INDIRECT("'SorP'!$A$"&amp;MATCH($S367&amp;$J367,SorP!C:C,0))))</f>
        <v>ZA-GP</v>
      </c>
      <c r="U367" s="201"/>
      <c r="V367" s="226">
        <f>IF(C367="",NA(),IF(OR(C367="Smelter not listed",C367="Smelter not yet identified"),MATCH($B367&amp;$D367,'Smelter Look-up'!$J:$J,0),MATCH($B367&amp;$C367,'Smelter Look-up'!$J:$J,0)))</f>
        <v>224</v>
      </c>
      <c r="X367" s="227">
        <f t="shared" si="51"/>
        <v>0</v>
      </c>
      <c r="AB367" s="228" t="str">
        <f t="shared" si="52"/>
        <v>GoldRand Refinery (Pty) Ltd.</v>
      </c>
    </row>
    <row r="368" spans="1:28" s="227" customFormat="1" ht="63.75">
      <c r="A368" s="181" t="s">
        <v>14936</v>
      </c>
      <c r="B368" s="182" t="s">
        <v>1098</v>
      </c>
      <c r="C368" s="186" t="s">
        <v>14935</v>
      </c>
      <c r="D368" s="230" t="s">
        <v>14935</v>
      </c>
      <c r="E368" s="182" t="s">
        <v>864</v>
      </c>
      <c r="F368" s="182" t="s">
        <v>14936</v>
      </c>
      <c r="G368" s="182" t="s">
        <v>13177</v>
      </c>
      <c r="H368" s="183" t="s">
        <v>16807</v>
      </c>
      <c r="I368" s="184" t="s">
        <v>15289</v>
      </c>
      <c r="J368" s="184" t="s">
        <v>1610</v>
      </c>
      <c r="K368" s="224" t="s">
        <v>16808</v>
      </c>
      <c r="L368" s="224" t="s">
        <v>16809</v>
      </c>
      <c r="M368" s="224" t="s">
        <v>15875</v>
      </c>
      <c r="N368" s="224" t="s">
        <v>15827</v>
      </c>
      <c r="O368" s="224" t="s">
        <v>864</v>
      </c>
      <c r="P368" s="185" t="s">
        <v>12407</v>
      </c>
      <c r="Q368" s="225" t="s">
        <v>15829</v>
      </c>
      <c r="R368" s="182" t="str">
        <f ca="1">IF(ISERROR($V368),"",OFFSET('Smelter Look-up'!$C$4,$V368-4,0)&amp;"")</f>
        <v>Metal Concentrators SA (Pty) Ltd.</v>
      </c>
      <c r="S368" s="181" t="str">
        <f t="shared" ca="1" si="50"/>
        <v>ZA</v>
      </c>
      <c r="T368" s="181" t="str">
        <f ca="1">IF(B368="","",IF(ISERROR(MATCH($J368,SorP!$B$1:$B$6226,0)),"",INDIRECT("'SorP'!$A$"&amp;MATCH($S368&amp;$J368,SorP!C:C,0))))</f>
        <v>ZA-GP</v>
      </c>
      <c r="U368" s="201"/>
      <c r="V368" s="226">
        <f>IF(C368="",NA(),IF(OR(C368="Smelter not listed",C368="Smelter not yet identified"),MATCH($B368&amp;$D368,'Smelter Look-up'!$J:$J,0),MATCH($B368&amp;$C368,'Smelter Look-up'!$J:$J,0)))</f>
        <v>173</v>
      </c>
      <c r="X368" s="227">
        <f t="shared" si="51"/>
        <v>0</v>
      </c>
      <c r="AB368" s="228" t="str">
        <f t="shared" si="52"/>
        <v>GoldMetal Concentrators SA (Pty) Ltd.</v>
      </c>
    </row>
    <row r="369" spans="1:28" s="227" customFormat="1" ht="20.25">
      <c r="A369" s="181" t="s">
        <v>16810</v>
      </c>
      <c r="B369" s="182" t="s">
        <v>1098</v>
      </c>
      <c r="C369" s="186" t="s">
        <v>16811</v>
      </c>
      <c r="D369" s="230" t="s">
        <v>16811</v>
      </c>
      <c r="E369" s="182" t="s">
        <v>864</v>
      </c>
      <c r="F369" s="182" t="s">
        <v>16810</v>
      </c>
      <c r="G369" s="182" t="s">
        <v>13177</v>
      </c>
      <c r="H369" s="183" t="s">
        <v>15840</v>
      </c>
      <c r="I369" s="184" t="s">
        <v>15840</v>
      </c>
      <c r="J369" s="184" t="s">
        <v>15840</v>
      </c>
      <c r="K369" s="224"/>
      <c r="L369" s="224"/>
      <c r="M369" s="224"/>
      <c r="N369" s="224" t="s">
        <v>15827</v>
      </c>
      <c r="O369" s="224" t="s">
        <v>864</v>
      </c>
      <c r="P369" s="185" t="s">
        <v>12407</v>
      </c>
      <c r="Q369" s="225" t="s">
        <v>15829</v>
      </c>
      <c r="R369" s="182" t="str">
        <f ca="1">IF(ISERROR($V369),"",OFFSET('Smelter Look-up'!$C$4,$V369-4,0)&amp;"")</f>
        <v/>
      </c>
      <c r="S369" s="181" t="str">
        <f t="shared" ca="1" si="50"/>
        <v>ZA</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si="51"/>
        <v>0</v>
      </c>
      <c r="AB369" s="228" t="str">
        <f t="shared" si="52"/>
        <v>GoldImpala Rustenburg</v>
      </c>
    </row>
    <row r="370" spans="1:28" s="227" customFormat="1" ht="38.25">
      <c r="A370" s="181" t="s">
        <v>2240</v>
      </c>
      <c r="B370" s="182" t="s">
        <v>1098</v>
      </c>
      <c r="C370" s="186" t="s">
        <v>2239</v>
      </c>
      <c r="D370" s="230" t="s">
        <v>2239</v>
      </c>
      <c r="E370" s="182" t="s">
        <v>864</v>
      </c>
      <c r="F370" s="182" t="s">
        <v>2240</v>
      </c>
      <c r="G370" s="182" t="s">
        <v>13177</v>
      </c>
      <c r="H370" s="183"/>
      <c r="I370" s="184" t="s">
        <v>2241</v>
      </c>
      <c r="J370" s="184" t="s">
        <v>1610</v>
      </c>
      <c r="K370" s="224"/>
      <c r="L370" s="224"/>
      <c r="M370" s="224"/>
      <c r="N370" s="224"/>
      <c r="O370" s="224" t="s">
        <v>16812</v>
      </c>
      <c r="P370" s="185"/>
      <c r="Q370" s="225"/>
      <c r="R370" s="182" t="str">
        <f ca="1">IF(ISERROR($V370),"",OFFSET('Smelter Look-up'!$C$4,$V370-4,0)&amp;"")</f>
        <v>AU Traders and Refiners</v>
      </c>
      <c r="S370" s="181" t="str">
        <f t="shared" ca="1" si="50"/>
        <v>ZA</v>
      </c>
      <c r="T370" s="181" t="str">
        <f ca="1">IF(B370="","",IF(ISERROR(MATCH($J370,SorP!$B$1:$B$6226,0)),"",INDIRECT("'SorP'!$A$"&amp;MATCH($S370&amp;$J370,SorP!C:C,0))))</f>
        <v>ZA-GP</v>
      </c>
      <c r="U370" s="201"/>
      <c r="V370" s="226">
        <f>IF(C370="",NA(),IF(OR(C370="Smelter not listed",C370="Smelter not yet identified"),MATCH($B370&amp;$D370,'Smelter Look-up'!$J:$J,0),MATCH($B370&amp;$C370,'Smelter Look-up'!$J:$J,0)))</f>
        <v>37</v>
      </c>
      <c r="X370" s="227">
        <f t="shared" si="51"/>
        <v>0</v>
      </c>
      <c r="AB370" s="228" t="str">
        <f t="shared" si="52"/>
        <v>GoldAU Traders and Refiners</v>
      </c>
    </row>
    <row r="371" spans="1:28" s="227" customFormat="1" ht="25.5">
      <c r="A371" s="181" t="s">
        <v>16813</v>
      </c>
      <c r="B371" s="182" t="s">
        <v>1098</v>
      </c>
      <c r="C371" s="186" t="s">
        <v>16814</v>
      </c>
      <c r="D371" s="230" t="s">
        <v>16814</v>
      </c>
      <c r="E371" s="182" t="s">
        <v>864</v>
      </c>
      <c r="F371" s="182" t="s">
        <v>16813</v>
      </c>
      <c r="G371" s="182" t="s">
        <v>13177</v>
      </c>
      <c r="H371" s="183" t="s">
        <v>15840</v>
      </c>
      <c r="I371" s="184" t="s">
        <v>15840</v>
      </c>
      <c r="J371" s="184" t="s">
        <v>15840</v>
      </c>
      <c r="K371" s="224"/>
      <c r="L371" s="224"/>
      <c r="M371" s="224"/>
      <c r="N371" s="224"/>
      <c r="O371" s="224"/>
      <c r="P371" s="185"/>
      <c r="Q371" s="225"/>
      <c r="R371" s="182" t="str">
        <f ca="1">IF(ISERROR($V371),"",OFFSET('Smelter Look-up'!$C$4,$V371-4,0)&amp;"")</f>
        <v/>
      </c>
      <c r="S371" s="181" t="str">
        <f t="shared" ca="1" si="50"/>
        <v>ZA</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si="51"/>
        <v>0</v>
      </c>
      <c r="AB371" s="228" t="str">
        <f t="shared" si="52"/>
        <v>GoldImpala Refineries – Base Metals Refinery (BMR)</v>
      </c>
    </row>
    <row r="372" spans="1:28" s="227" customFormat="1" ht="25.5">
      <c r="A372" s="181" t="s">
        <v>15607</v>
      </c>
      <c r="B372" s="182" t="s">
        <v>1098</v>
      </c>
      <c r="C372" s="186" t="s">
        <v>15673</v>
      </c>
      <c r="D372" s="230" t="s">
        <v>15673</v>
      </c>
      <c r="E372" s="182" t="s">
        <v>864</v>
      </c>
      <c r="F372" s="182" t="s">
        <v>15607</v>
      </c>
      <c r="G372" s="182" t="s">
        <v>13177</v>
      </c>
      <c r="H372" s="183"/>
      <c r="I372" s="184" t="s">
        <v>15605</v>
      </c>
      <c r="J372" s="184" t="s">
        <v>1610</v>
      </c>
      <c r="K372" s="224"/>
      <c r="L372" s="224"/>
      <c r="M372" s="224"/>
      <c r="N372" s="224"/>
      <c r="O372" s="224"/>
      <c r="P372" s="185"/>
      <c r="Q372" s="225"/>
      <c r="R372" s="182" t="str">
        <f ca="1">IF(ISERROR($V372),"",OFFSET('Smelter Look-up'!$C$4,$V372-4,0)&amp;"")</f>
        <v>Impala Platinum - Platinum Metals Refinery (PMR)</v>
      </c>
      <c r="S372" s="181" t="str">
        <f t="shared" ca="1" si="50"/>
        <v>ZA</v>
      </c>
      <c r="T372" s="181" t="str">
        <f ca="1">IF(B372="","",IF(ISERROR(MATCH($J372,SorP!$B$1:$B$6226,0)),"",INDIRECT("'SorP'!$A$"&amp;MATCH($S372&amp;$J372,SorP!C:C,0))))</f>
        <v>ZA-GP</v>
      </c>
      <c r="U372" s="201"/>
      <c r="V372" s="226">
        <f>IF(C372="",NA(),IF(OR(C372="Smelter not listed",C372="Smelter not yet identified"),MATCH($B372&amp;$D372,'Smelter Look-up'!$J:$J,0),MATCH($B372&amp;$C372,'Smelter Look-up'!$J:$J,0)))</f>
        <v>118</v>
      </c>
      <c r="X372" s="227">
        <f t="shared" si="51"/>
        <v>0</v>
      </c>
      <c r="AB372" s="228" t="str">
        <f t="shared" si="52"/>
        <v>GoldImpala Platinum - Platinum Metals Refinery (PMR)</v>
      </c>
    </row>
    <row r="373" spans="1:28" s="227" customFormat="1" ht="165.75">
      <c r="A373" s="181" t="s">
        <v>708</v>
      </c>
      <c r="B373" s="182" t="s">
        <v>1098</v>
      </c>
      <c r="C373" s="186" t="s">
        <v>12380</v>
      </c>
      <c r="D373" s="230" t="s">
        <v>12380</v>
      </c>
      <c r="E373" s="182" t="s">
        <v>1071</v>
      </c>
      <c r="F373" s="182" t="s">
        <v>708</v>
      </c>
      <c r="G373" s="182" t="s">
        <v>13177</v>
      </c>
      <c r="H373" s="183" t="s">
        <v>16815</v>
      </c>
      <c r="I373" s="184" t="s">
        <v>1617</v>
      </c>
      <c r="J373" s="184" t="s">
        <v>4621</v>
      </c>
      <c r="K373" s="224" t="s">
        <v>16816</v>
      </c>
      <c r="L373" s="224" t="s">
        <v>16817</v>
      </c>
      <c r="M373" s="224" t="s">
        <v>15826</v>
      </c>
      <c r="N373" s="224" t="s">
        <v>15827</v>
      </c>
      <c r="O373" s="224" t="s">
        <v>16818</v>
      </c>
      <c r="P373" s="185" t="s">
        <v>12407</v>
      </c>
      <c r="Q373" s="225" t="s">
        <v>15829</v>
      </c>
      <c r="R373" s="182" t="str">
        <f ca="1">IF(ISERROR($V373),"",OFFSET('Smelter Look-up'!$C$4,$V373-4,0)&amp;"")</f>
        <v>SEMPSA Joyeria Plateria S.A.</v>
      </c>
      <c r="S373" s="181" t="str">
        <f t="shared" ca="1" si="50"/>
        <v>ES</v>
      </c>
      <c r="T373" s="181" t="str">
        <f ca="1">IF(B373="","",IF(ISERROR(MATCH($J373,SorP!$B$1:$B$6226,0)),"",INDIRECT("'SorP'!$A$"&amp;MATCH($S373&amp;$J373,SorP!C:C,0))))</f>
        <v>ES-MD</v>
      </c>
      <c r="U373" s="201"/>
      <c r="V373" s="226">
        <f>IF(C373="",NA(),IF(OR(C373="Smelter not listed",C373="Smelter not yet identified"),MATCH($B373&amp;$D373,'Smelter Look-up'!$J:$J,0),MATCH($B373&amp;$C373,'Smelter Look-up'!$J:$J,0)))</f>
        <v>242</v>
      </c>
      <c r="X373" s="227">
        <f t="shared" si="51"/>
        <v>0</v>
      </c>
      <c r="AB373" s="228" t="str">
        <f t="shared" si="52"/>
        <v>GoldSEMPSA Joyeria Plateria S.A.</v>
      </c>
    </row>
    <row r="374" spans="1:28" s="227" customFormat="1" ht="140.25">
      <c r="A374" s="181" t="s">
        <v>1774</v>
      </c>
      <c r="B374" s="182" t="s">
        <v>1099</v>
      </c>
      <c r="C374" s="186" t="s">
        <v>15342</v>
      </c>
      <c r="D374" s="230" t="s">
        <v>15342</v>
      </c>
      <c r="E374" s="182" t="s">
        <v>1071</v>
      </c>
      <c r="F374" s="182" t="s">
        <v>1774</v>
      </c>
      <c r="G374" s="182" t="s">
        <v>13177</v>
      </c>
      <c r="H374" s="183" t="s">
        <v>16819</v>
      </c>
      <c r="I374" s="184" t="s">
        <v>1775</v>
      </c>
      <c r="J374" s="184" t="s">
        <v>12359</v>
      </c>
      <c r="K374" s="224" t="s">
        <v>15849</v>
      </c>
      <c r="L374" s="224" t="s">
        <v>15850</v>
      </c>
      <c r="M374" s="224" t="s">
        <v>15826</v>
      </c>
      <c r="N374" s="224" t="s">
        <v>15827</v>
      </c>
      <c r="O374" s="224" t="s">
        <v>16820</v>
      </c>
      <c r="P374" s="185" t="s">
        <v>15949</v>
      </c>
      <c r="Q374" s="225" t="s">
        <v>15829</v>
      </c>
      <c r="R374" s="182" t="str">
        <f ca="1">IF(ISERROR($V374),"",OFFSET('Smelter Look-up'!$C$4,$V374-4,0)&amp;"")</f>
        <v>Aurubis Berango</v>
      </c>
      <c r="S374" s="181" t="str">
        <f t="shared" ca="1" si="50"/>
        <v>ES</v>
      </c>
      <c r="T374" s="181" t="str">
        <f ca="1">IF(B374="","",IF(ISERROR(MATCH($J374,SorP!$B$1:$B$6226,0)),"",INDIRECT("'SorP'!$A$"&amp;MATCH($S374&amp;$J374,SorP!C:C,0))))</f>
        <v>ES-BI</v>
      </c>
      <c r="U374" s="201"/>
      <c r="V374" s="226">
        <f>IF(C374="",NA(),IF(OR(C374="Smelter not listed",C374="Smelter not yet identified"),MATCH($B374&amp;$D374,'Smelter Look-up'!$J:$J,0),MATCH($B374&amp;$C374,'Smelter Look-up'!$J:$J,0)))</f>
        <v>405</v>
      </c>
      <c r="X374" s="227">
        <f t="shared" si="51"/>
        <v>0</v>
      </c>
      <c r="AB374" s="228" t="str">
        <f t="shared" si="52"/>
        <v>TinAurubis Berango</v>
      </c>
    </row>
    <row r="375" spans="1:28" s="227" customFormat="1" ht="25.5">
      <c r="A375" s="181" t="s">
        <v>14958</v>
      </c>
      <c r="B375" s="182" t="s">
        <v>1099</v>
      </c>
      <c r="C375" s="186" t="s">
        <v>14957</v>
      </c>
      <c r="D375" s="230" t="s">
        <v>14957</v>
      </c>
      <c r="E375" s="182" t="s">
        <v>1071</v>
      </c>
      <c r="F375" s="182" t="s">
        <v>14958</v>
      </c>
      <c r="G375" s="182" t="s">
        <v>13177</v>
      </c>
      <c r="H375" s="183" t="s">
        <v>16821</v>
      </c>
      <c r="I375" s="184" t="s">
        <v>15696</v>
      </c>
      <c r="J375" s="184" t="s">
        <v>3602</v>
      </c>
      <c r="K375" s="224" t="s">
        <v>16822</v>
      </c>
      <c r="L375" s="224" t="s">
        <v>16823</v>
      </c>
      <c r="M375" s="224" t="s">
        <v>15826</v>
      </c>
      <c r="N375" s="224" t="s">
        <v>15827</v>
      </c>
      <c r="O375" s="224" t="s">
        <v>16824</v>
      </c>
      <c r="P375" s="185" t="s">
        <v>15949</v>
      </c>
      <c r="Q375" s="225" t="s">
        <v>15829</v>
      </c>
      <c r="R375" s="182" t="str">
        <f ca="1">IF(ISERROR($V375),"",OFFSET('Smelter Look-up'!$C$4,$V375-4,0)&amp;"")</f>
        <v>CRM Synergies</v>
      </c>
      <c r="S375" s="181" t="str">
        <f t="shared" ca="1" si="50"/>
        <v>ES</v>
      </c>
      <c r="T375" s="181" t="str">
        <f ca="1">IF(B375="","",IF(ISERROR(MATCH($J375,SorP!$B$1:$B$6226,0)),"",INDIRECT("'SorP'!$A$"&amp;MATCH($S375&amp;$J375,SorP!C:C,0))))</f>
        <v>ES-TO</v>
      </c>
      <c r="U375" s="201"/>
      <c r="V375" s="226">
        <f>IF(C375="",NA(),IF(OR(C375="Smelter not listed",C375="Smelter not yet identified"),MATCH($B375&amp;$D375,'Smelter Look-up'!$J:$J,0),MATCH($B375&amp;$C375,'Smelter Look-up'!$J:$J,0)))</f>
        <v>419</v>
      </c>
      <c r="X375" s="227">
        <f t="shared" si="51"/>
        <v>0</v>
      </c>
      <c r="AB375" s="228" t="str">
        <f t="shared" si="52"/>
        <v>TinCRM Synergies</v>
      </c>
    </row>
    <row r="376" spans="1:28" s="227" customFormat="1" ht="76.5">
      <c r="A376" s="181" t="s">
        <v>643</v>
      </c>
      <c r="B376" s="182" t="s">
        <v>1098</v>
      </c>
      <c r="C376" s="186" t="s">
        <v>15597</v>
      </c>
      <c r="D376" s="230" t="s">
        <v>15597</v>
      </c>
      <c r="E376" s="182" t="s">
        <v>858</v>
      </c>
      <c r="F376" s="182" t="s">
        <v>643</v>
      </c>
      <c r="G376" s="182" t="s">
        <v>13177</v>
      </c>
      <c r="H376" s="183" t="s">
        <v>16825</v>
      </c>
      <c r="I376" s="184" t="s">
        <v>1525</v>
      </c>
      <c r="J376" s="184" t="s">
        <v>10222</v>
      </c>
      <c r="K376" s="224" t="s">
        <v>16826</v>
      </c>
      <c r="L376" s="224" t="s">
        <v>16827</v>
      </c>
      <c r="M376" s="224" t="s">
        <v>15826</v>
      </c>
      <c r="N376" s="224" t="s">
        <v>15827</v>
      </c>
      <c r="O376" s="224" t="s">
        <v>16828</v>
      </c>
      <c r="P376" s="185" t="s">
        <v>12407</v>
      </c>
      <c r="Q376" s="225" t="s">
        <v>15871</v>
      </c>
      <c r="R376" s="182" t="str">
        <f ca="1">IF(ISERROR($V376),"",OFFSET('Smelter Look-up'!$C$4,$V376-4,0)&amp;"")</f>
        <v>Boliden Ronnskar</v>
      </c>
      <c r="S376" s="181" t="str">
        <f t="shared" ca="1" si="50"/>
        <v>SE</v>
      </c>
      <c r="T376" s="181" t="str">
        <f ca="1">IF(B376="","",IF(ISERROR(MATCH($J376,SorP!$B$1:$B$6226,0)),"",INDIRECT("'SorP'!$A$"&amp;MATCH($S376&amp;$J376,SorP!C:C,0))))</f>
        <v>SE-AC</v>
      </c>
      <c r="U376" s="201"/>
      <c r="V376" s="226">
        <f>IF(C376="",NA(),IF(OR(C376="Smelter not listed",C376="Smelter not yet identified"),MATCH($B376&amp;$D376,'Smelter Look-up'!$J:$J,0),MATCH($B376&amp;$C376,'Smelter Look-up'!$J:$J,0)))</f>
        <v>44</v>
      </c>
      <c r="X376" s="227">
        <f t="shared" si="51"/>
        <v>0</v>
      </c>
      <c r="AB376" s="228" t="str">
        <f t="shared" si="52"/>
        <v>GoldBoliden Ronnskar</v>
      </c>
    </row>
    <row r="377" spans="1:28" s="227" customFormat="1" ht="76.5">
      <c r="A377" s="181" t="s">
        <v>688</v>
      </c>
      <c r="B377" s="182" t="s">
        <v>1098</v>
      </c>
      <c r="C377" s="186" t="s">
        <v>2257</v>
      </c>
      <c r="D377" s="230" t="s">
        <v>2257</v>
      </c>
      <c r="E377" s="182" t="s">
        <v>1067</v>
      </c>
      <c r="F377" s="182" t="s">
        <v>688</v>
      </c>
      <c r="G377" s="182" t="s">
        <v>13177</v>
      </c>
      <c r="H377" s="183" t="s">
        <v>16829</v>
      </c>
      <c r="I377" s="184" t="s">
        <v>1588</v>
      </c>
      <c r="J377" s="184" t="s">
        <v>1589</v>
      </c>
      <c r="K377" s="224" t="s">
        <v>16830</v>
      </c>
      <c r="L377" s="224" t="s">
        <v>16831</v>
      </c>
      <c r="M377" s="224" t="s">
        <v>15826</v>
      </c>
      <c r="N377" s="224" t="s">
        <v>15827</v>
      </c>
      <c r="O377" s="224" t="s">
        <v>16832</v>
      </c>
      <c r="P377" s="185" t="s">
        <v>12407</v>
      </c>
      <c r="Q377" s="225" t="s">
        <v>15829</v>
      </c>
      <c r="R377" s="182" t="str">
        <f ca="1">IF(ISERROR($V377),"",OFFSET('Smelter Look-up'!$C$4,$V377-4,0)&amp;"")</f>
        <v>Metalor Technologies S.A.</v>
      </c>
      <c r="S377" s="181" t="str">
        <f t="shared" ca="1" si="50"/>
        <v>CH</v>
      </c>
      <c r="T377" s="181" t="str">
        <f ca="1">IF(B377="","",IF(ISERROR(MATCH($J377,SorP!$B$1:$B$6226,0)),"",INDIRECT("'SorP'!$A$"&amp;MATCH($S377&amp;$J377,SorP!C:C,0))))</f>
        <v>CH-NE</v>
      </c>
      <c r="U377" s="201"/>
      <c r="V377" s="226">
        <f>IF(C377="",NA(),IF(OR(C377="Smelter not listed",C377="Smelter not yet identified"),MATCH($B377&amp;$D377,'Smelter Look-up'!$J:$J,0),MATCH($B377&amp;$C377,'Smelter Look-up'!$J:$J,0)))</f>
        <v>181</v>
      </c>
      <c r="X377" s="227">
        <f t="shared" si="51"/>
        <v>0</v>
      </c>
      <c r="AB377" s="228" t="str">
        <f t="shared" si="52"/>
        <v>GoldMetalor Technologies S.A.</v>
      </c>
    </row>
    <row r="378" spans="1:28" s="227" customFormat="1" ht="114.75">
      <c r="A378" s="181" t="s">
        <v>699</v>
      </c>
      <c r="B378" s="182" t="s">
        <v>1098</v>
      </c>
      <c r="C378" s="186" t="s">
        <v>15334</v>
      </c>
      <c r="D378" s="230" t="s">
        <v>15334</v>
      </c>
      <c r="E378" s="182" t="s">
        <v>1067</v>
      </c>
      <c r="F378" s="182" t="s">
        <v>699</v>
      </c>
      <c r="G378" s="182" t="s">
        <v>13177</v>
      </c>
      <c r="H378" s="183" t="s">
        <v>16833</v>
      </c>
      <c r="I378" s="184" t="s">
        <v>15337</v>
      </c>
      <c r="J378" s="184" t="s">
        <v>3741</v>
      </c>
      <c r="K378" s="224" t="s">
        <v>16834</v>
      </c>
      <c r="L378" s="224" t="s">
        <v>16835</v>
      </c>
      <c r="M378" s="224" t="s">
        <v>15826</v>
      </c>
      <c r="N378" s="224" t="s">
        <v>15827</v>
      </c>
      <c r="O378" s="224" t="s">
        <v>16836</v>
      </c>
      <c r="P378" s="185" t="s">
        <v>476</v>
      </c>
      <c r="Q378" s="225" t="s">
        <v>15829</v>
      </c>
      <c r="R378" s="182" t="str">
        <f ca="1">IF(ISERROR($V378),"",OFFSET('Smelter Look-up'!$C$4,$V378-4,0)&amp;"")</f>
        <v>MKS PAMP SA</v>
      </c>
      <c r="S378" s="181" t="str">
        <f t="shared" ca="1" si="50"/>
        <v>CH</v>
      </c>
      <c r="T378" s="181" t="str">
        <f ca="1">IF(B378="","",IF(ISERROR(MATCH($J378,SorP!$B$1:$B$6226,0)),"",INDIRECT("'SorP'!$A$"&amp;MATCH($S378&amp;$J378,SorP!C:C,0))))</f>
        <v>CH-GE</v>
      </c>
      <c r="U378" s="201"/>
      <c r="V378" s="226">
        <f>IF(C378="",NA(),IF(OR(C378="Smelter not listed",C378="Smelter not yet identified"),MATCH($B378&amp;$D378,'Smelter Look-up'!$J:$J,0),MATCH($B378&amp;$C378,'Smelter Look-up'!$J:$J,0)))</f>
        <v>192</v>
      </c>
      <c r="X378" s="227">
        <f t="shared" si="51"/>
        <v>0</v>
      </c>
      <c r="AB378" s="228" t="str">
        <f t="shared" si="52"/>
        <v>GoldMKS PAMP SA</v>
      </c>
    </row>
    <row r="379" spans="1:28" s="227" customFormat="1" ht="89.25">
      <c r="A379" s="181" t="s">
        <v>703</v>
      </c>
      <c r="B379" s="182" t="s">
        <v>1098</v>
      </c>
      <c r="C379" s="186" t="s">
        <v>12379</v>
      </c>
      <c r="D379" s="230" t="s">
        <v>12379</v>
      </c>
      <c r="E379" s="182" t="s">
        <v>1067</v>
      </c>
      <c r="F379" s="182" t="s">
        <v>703</v>
      </c>
      <c r="G379" s="182" t="s">
        <v>13177</v>
      </c>
      <c r="H379" s="183"/>
      <c r="I379" s="184" t="s">
        <v>1608</v>
      </c>
      <c r="J379" s="184" t="s">
        <v>1589</v>
      </c>
      <c r="K379" s="224" t="s">
        <v>16837</v>
      </c>
      <c r="L379" s="224" t="s">
        <v>16838</v>
      </c>
      <c r="M379" s="224" t="s">
        <v>15826</v>
      </c>
      <c r="N379" s="224" t="s">
        <v>15827</v>
      </c>
      <c r="O379" s="224" t="s">
        <v>16839</v>
      </c>
      <c r="P379" s="185" t="s">
        <v>12407</v>
      </c>
      <c r="Q379" s="225" t="s">
        <v>15829</v>
      </c>
      <c r="R379" s="182" t="str">
        <f ca="1">IF(ISERROR($V379),"",OFFSET('Smelter Look-up'!$C$4,$V379-4,0)&amp;"")</f>
        <v>PX Precinox S.A.</v>
      </c>
      <c r="S379" s="181" t="str">
        <f t="shared" ca="1" si="50"/>
        <v>CH</v>
      </c>
      <c r="T379" s="181" t="str">
        <f ca="1">IF(B379="","",IF(ISERROR(MATCH($J379,SorP!$B$1:$B$6226,0)),"",INDIRECT("'SorP'!$A$"&amp;MATCH($S379&amp;$J379,SorP!C:C,0))))</f>
        <v>CH-NE</v>
      </c>
      <c r="U379" s="201"/>
      <c r="V379" s="226">
        <f>IF(C379="",NA(),IF(OR(C379="Smelter not listed",C379="Smelter not yet identified"),MATCH($B379&amp;$D379,'Smelter Look-up'!$J:$J,0),MATCH($B379&amp;$C379,'Smelter Look-up'!$J:$J,0)))</f>
        <v>221</v>
      </c>
      <c r="X379" s="227">
        <f t="shared" si="51"/>
        <v>0</v>
      </c>
      <c r="AB379" s="228" t="str">
        <f t="shared" si="52"/>
        <v>GoldPX Precinox S.A.</v>
      </c>
    </row>
    <row r="380" spans="1:28" s="227" customFormat="1" ht="114.75">
      <c r="A380" s="181" t="s">
        <v>721</v>
      </c>
      <c r="B380" s="182" t="s">
        <v>1098</v>
      </c>
      <c r="C380" s="186" t="s">
        <v>2285</v>
      </c>
      <c r="D380" s="230" t="s">
        <v>2285</v>
      </c>
      <c r="E380" s="182" t="s">
        <v>1067</v>
      </c>
      <c r="F380" s="182" t="s">
        <v>721</v>
      </c>
      <c r="G380" s="182" t="s">
        <v>13177</v>
      </c>
      <c r="H380" s="183" t="s">
        <v>16840</v>
      </c>
      <c r="I380" s="184" t="s">
        <v>1644</v>
      </c>
      <c r="J380" s="184" t="s">
        <v>1517</v>
      </c>
      <c r="K380" s="224" t="s">
        <v>16841</v>
      </c>
      <c r="L380" s="224" t="s">
        <v>16842</v>
      </c>
      <c r="M380" s="224" t="s">
        <v>15826</v>
      </c>
      <c r="N380" s="224" t="s">
        <v>15827</v>
      </c>
      <c r="O380" s="224" t="s">
        <v>16843</v>
      </c>
      <c r="P380" s="185" t="s">
        <v>12407</v>
      </c>
      <c r="Q380" s="225" t="s">
        <v>15829</v>
      </c>
      <c r="R380" s="182" t="str">
        <f ca="1">IF(ISERROR($V380),"",OFFSET('Smelter Look-up'!$C$4,$V380-4,0)&amp;"")</f>
        <v>Valcambi S.A.</v>
      </c>
      <c r="S380" s="181" t="str">
        <f t="shared" ca="1" si="50"/>
        <v>CH</v>
      </c>
      <c r="T380" s="181" t="str">
        <f ca="1">IF(B380="","",IF(ISERROR(MATCH($J380,SorP!$B$1:$B$6226,0)),"",INDIRECT("'SorP'!$A$"&amp;MATCH($S380&amp;$J380,SorP!C:C,0))))</f>
        <v>CH-TI</v>
      </c>
      <c r="U380" s="201"/>
      <c r="V380" s="226">
        <f>IF(C380="",NA(),IF(OR(C380="Smelter not listed",C380="Smelter not yet identified"),MATCH($B380&amp;$D380,'Smelter Look-up'!$J:$J,0),MATCH($B380&amp;$C380,'Smelter Look-up'!$J:$J,0)))</f>
        <v>304</v>
      </c>
      <c r="X380" s="227">
        <f t="shared" si="51"/>
        <v>0</v>
      </c>
      <c r="AB380" s="228" t="str">
        <f t="shared" si="52"/>
        <v>GoldValcambi S.A.</v>
      </c>
    </row>
    <row r="381" spans="1:28" s="227" customFormat="1" ht="102">
      <c r="A381" s="181" t="s">
        <v>637</v>
      </c>
      <c r="B381" s="182" t="s">
        <v>1098</v>
      </c>
      <c r="C381" s="186" t="s">
        <v>2236</v>
      </c>
      <c r="D381" s="230" t="s">
        <v>2236</v>
      </c>
      <c r="E381" s="182" t="s">
        <v>1067</v>
      </c>
      <c r="F381" s="182" t="s">
        <v>637</v>
      </c>
      <c r="G381" s="182" t="s">
        <v>13177</v>
      </c>
      <c r="H381" s="183"/>
      <c r="I381" s="184" t="s">
        <v>1516</v>
      </c>
      <c r="J381" s="184" t="s">
        <v>1517</v>
      </c>
      <c r="K381" s="224" t="s">
        <v>16844</v>
      </c>
      <c r="L381" s="224" t="s">
        <v>16845</v>
      </c>
      <c r="M381" s="224" t="s">
        <v>15833</v>
      </c>
      <c r="N381" s="224" t="s">
        <v>15827</v>
      </c>
      <c r="O381" s="224" t="s">
        <v>16846</v>
      </c>
      <c r="P381" s="185" t="s">
        <v>12407</v>
      </c>
      <c r="Q381" s="225" t="s">
        <v>15871</v>
      </c>
      <c r="R381" s="182" t="str">
        <f ca="1">IF(ISERROR($V381),"",OFFSET('Smelter Look-up'!$C$4,$V381-4,0)&amp;"")</f>
        <v>Argor-Heraeus S.A.</v>
      </c>
      <c r="S381" s="181" t="str">
        <f t="shared" ca="1" si="50"/>
        <v>CH</v>
      </c>
      <c r="T381" s="181" t="str">
        <f ca="1">IF(B381="","",IF(ISERROR(MATCH($J381,SorP!$B$1:$B$6226,0)),"",INDIRECT("'SorP'!$A$"&amp;MATCH($S381&amp;$J381,SorP!C:C,0))))</f>
        <v>CH-TI</v>
      </c>
      <c r="U381" s="201"/>
      <c r="V381" s="226">
        <f>IF(C381="",NA(),IF(OR(C381="Smelter not listed",C381="Smelter not yet identified"),MATCH($B381&amp;$D381,'Smelter Look-up'!$J:$J,0),MATCH($B381&amp;$C381,'Smelter Look-up'!$J:$J,0)))</f>
        <v>28</v>
      </c>
      <c r="X381" s="227">
        <f t="shared" si="51"/>
        <v>0</v>
      </c>
      <c r="AB381" s="228" t="str">
        <f t="shared" si="52"/>
        <v>GoldArgor-Heraeus S.A.</v>
      </c>
    </row>
    <row r="382" spans="1:28" s="227" customFormat="1" ht="51">
      <c r="A382" s="181" t="s">
        <v>648</v>
      </c>
      <c r="B382" s="182" t="s">
        <v>1098</v>
      </c>
      <c r="C382" s="186" t="s">
        <v>2445</v>
      </c>
      <c r="D382" s="230" t="s">
        <v>2445</v>
      </c>
      <c r="E382" s="182" t="s">
        <v>1067</v>
      </c>
      <c r="F382" s="182" t="s">
        <v>648</v>
      </c>
      <c r="G382" s="182" t="s">
        <v>13177</v>
      </c>
      <c r="H382" s="183"/>
      <c r="I382" s="184" t="s">
        <v>1532</v>
      </c>
      <c r="J382" s="184" t="s">
        <v>1533</v>
      </c>
      <c r="K382" s="224"/>
      <c r="L382" s="224"/>
      <c r="M382" s="224"/>
      <c r="N382" s="224"/>
      <c r="O382" s="224" t="s">
        <v>16847</v>
      </c>
      <c r="P382" s="185"/>
      <c r="Q382" s="225"/>
      <c r="R382" s="182" t="str">
        <f ca="1">IF(ISERROR($V382),"",OFFSET('Smelter Look-up'!$C$4,$V382-4,0)&amp;"")</f>
        <v>Cendres + Metaux S.A.</v>
      </c>
      <c r="S382" s="181" t="str">
        <f t="shared" ca="1" si="50"/>
        <v>CH</v>
      </c>
      <c r="T382" s="181" t="str">
        <f ca="1">IF(B382="","",IF(ISERROR(MATCH($J382,SorP!$B$1:$B$6226,0)),"",INDIRECT("'SorP'!$A$"&amp;MATCH($S382&amp;$J382,SorP!C:C,0))))</f>
        <v>CH-BE</v>
      </c>
      <c r="U382" s="201"/>
      <c r="V382" s="226">
        <f>IF(C382="",NA(),IF(OR(C382="Smelter not listed",C382="Smelter not yet identified"),MATCH($B382&amp;$D382,'Smelter Look-up'!$J:$J,0),MATCH($B382&amp;$C382,'Smelter Look-up'!$J:$J,0)))</f>
        <v>50</v>
      </c>
      <c r="X382" s="227">
        <f t="shared" si="51"/>
        <v>0</v>
      </c>
      <c r="AB382" s="228" t="str">
        <f t="shared" si="52"/>
        <v>GoldCendres + Metaux S.A.</v>
      </c>
    </row>
    <row r="383" spans="1:28" s="227" customFormat="1" ht="76.5">
      <c r="A383" s="181" t="s">
        <v>762</v>
      </c>
      <c r="B383" s="182" t="s">
        <v>1099</v>
      </c>
      <c r="C383" s="186" t="s">
        <v>761</v>
      </c>
      <c r="D383" s="230" t="s">
        <v>761</v>
      </c>
      <c r="E383" s="182" t="s">
        <v>2383</v>
      </c>
      <c r="F383" s="182" t="s">
        <v>762</v>
      </c>
      <c r="G383" s="182" t="s">
        <v>13177</v>
      </c>
      <c r="H383" s="183" t="s">
        <v>16848</v>
      </c>
      <c r="I383" s="184" t="s">
        <v>13738</v>
      </c>
      <c r="J383" s="184" t="s">
        <v>1665</v>
      </c>
      <c r="K383" s="224" t="s">
        <v>16849</v>
      </c>
      <c r="L383" s="224" t="s">
        <v>16850</v>
      </c>
      <c r="M383" s="224" t="s">
        <v>15826</v>
      </c>
      <c r="N383" s="224" t="s">
        <v>15827</v>
      </c>
      <c r="O383" s="224" t="s">
        <v>16851</v>
      </c>
      <c r="P383" s="185" t="s">
        <v>12407</v>
      </c>
      <c r="Q383" s="225" t="s">
        <v>15829</v>
      </c>
      <c r="R383" s="182" t="str">
        <f ca="1">IF(ISERROR($V383),"",OFFSET('Smelter Look-up'!$C$4,$V383-4,0)&amp;"")</f>
        <v>Rui Da Hung</v>
      </c>
      <c r="S383" s="181" t="str">
        <f t="shared" ca="1" si="50"/>
        <v>TW</v>
      </c>
      <c r="T383" s="181" t="str">
        <f ca="1">IF(B383="","",IF(ISERROR(MATCH($J383,SorP!$B$1:$B$6226,0)),"",INDIRECT("'SorP'!$A$"&amp;MATCH($S383&amp;$J383,SorP!C:C,0))))</f>
        <v>TW-TAO</v>
      </c>
      <c r="U383" s="201"/>
      <c r="V383" s="226">
        <f>IF(C383="",NA(),IF(OR(C383="Smelter not listed",C383="Smelter not yet identified"),MATCH($B383&amp;$D383,'Smelter Look-up'!$J:$J,0),MATCH($B383&amp;$C383,'Smelter Look-up'!$J:$J,0)))</f>
        <v>515</v>
      </c>
      <c r="X383" s="227">
        <f t="shared" si="51"/>
        <v>0</v>
      </c>
      <c r="AB383" s="228" t="str">
        <f t="shared" si="52"/>
        <v>TinRui Da Hung</v>
      </c>
    </row>
    <row r="384" spans="1:28" s="227" customFormat="1" ht="51">
      <c r="A384" s="181" t="s">
        <v>711</v>
      </c>
      <c r="B384" s="182" t="s">
        <v>1098</v>
      </c>
      <c r="C384" s="186" t="s">
        <v>886</v>
      </c>
      <c r="D384" s="230" t="s">
        <v>886</v>
      </c>
      <c r="E384" s="182" t="s">
        <v>2383</v>
      </c>
      <c r="F384" s="182" t="s">
        <v>711</v>
      </c>
      <c r="G384" s="182" t="s">
        <v>13177</v>
      </c>
      <c r="H384" s="183" t="s">
        <v>16852</v>
      </c>
      <c r="I384" s="184" t="s">
        <v>1627</v>
      </c>
      <c r="J384" s="184" t="s">
        <v>11458</v>
      </c>
      <c r="K384" s="224" t="s">
        <v>16853</v>
      </c>
      <c r="L384" s="224" t="s">
        <v>16854</v>
      </c>
      <c r="M384" s="224" t="s">
        <v>15826</v>
      </c>
      <c r="N384" s="224" t="s">
        <v>15827</v>
      </c>
      <c r="O384" s="224" t="s">
        <v>2383</v>
      </c>
      <c r="P384" s="185" t="s">
        <v>12407</v>
      </c>
      <c r="Q384" s="225" t="s">
        <v>15829</v>
      </c>
      <c r="R384" s="182" t="str">
        <f ca="1">IF(ISERROR($V384),"",OFFSET('Smelter Look-up'!$C$4,$V384-4,0)&amp;"")</f>
        <v>Solar Applied Materials Technology Corp.</v>
      </c>
      <c r="S384" s="181" t="str">
        <f t="shared" ca="1" si="50"/>
        <v>TW</v>
      </c>
      <c r="T384" s="181" t="str">
        <f ca="1">IF(B384="","",IF(ISERROR(MATCH($J384,SorP!$B$1:$B$6226,0)),"",INDIRECT("'SorP'!$A$"&amp;MATCH($S384&amp;$J384,SorP!C:C,0))))</f>
        <v>TW-TNN</v>
      </c>
      <c r="U384" s="201"/>
      <c r="V384" s="226">
        <f>IF(C384="",NA(),IF(OR(C384="Smelter not listed",C384="Smelter not yet identified"),MATCH($B384&amp;$D384,'Smelter Look-up'!$J:$J,0),MATCH($B384&amp;$C384,'Smelter Look-up'!$J:$J,0)))</f>
        <v>267</v>
      </c>
      <c r="X384" s="227">
        <f t="shared" si="51"/>
        <v>0</v>
      </c>
      <c r="AB384" s="228" t="str">
        <f t="shared" si="52"/>
        <v>GoldSolar Applied Materials Technology Corp.</v>
      </c>
    </row>
    <row r="385" spans="1:28" s="227" customFormat="1" ht="76.5">
      <c r="A385" s="181" t="s">
        <v>13730</v>
      </c>
      <c r="B385" s="182" t="s">
        <v>1101</v>
      </c>
      <c r="C385" s="186" t="s">
        <v>13729</v>
      </c>
      <c r="D385" s="230" t="s">
        <v>13729</v>
      </c>
      <c r="E385" s="182" t="s">
        <v>2383</v>
      </c>
      <c r="F385" s="182" t="s">
        <v>13730</v>
      </c>
      <c r="G385" s="182" t="s">
        <v>13177</v>
      </c>
      <c r="H385" s="183" t="s">
        <v>16855</v>
      </c>
      <c r="I385" s="184" t="s">
        <v>13740</v>
      </c>
      <c r="J385" s="184" t="s">
        <v>11431</v>
      </c>
      <c r="K385" s="224" t="s">
        <v>16856</v>
      </c>
      <c r="L385" s="224" t="s">
        <v>16857</v>
      </c>
      <c r="M385" s="224" t="s">
        <v>15875</v>
      </c>
      <c r="N385" s="224" t="s">
        <v>15827</v>
      </c>
      <c r="O385" s="224" t="s">
        <v>16858</v>
      </c>
      <c r="P385" s="185" t="s">
        <v>15949</v>
      </c>
      <c r="Q385" s="225" t="s">
        <v>15829</v>
      </c>
      <c r="R385" s="182" t="str">
        <f ca="1">IF(ISERROR($V385),"",OFFSET('Smelter Look-up'!$C$4,$V385-4,0)&amp;"")</f>
        <v>Lianyou Metals Co., Ltd.</v>
      </c>
      <c r="S385" s="181" t="str">
        <f t="shared" ca="1" si="50"/>
        <v>TW</v>
      </c>
      <c r="T385" s="181" t="str">
        <f ca="1">IF(B385="","",IF(ISERROR(MATCH($J385,SorP!$B$1:$B$6226,0)),"",INDIRECT("'SorP'!$A$"&amp;MATCH($S385&amp;$J385,SorP!C:C,0))))</f>
        <v>TW-PIF</v>
      </c>
      <c r="U385" s="201"/>
      <c r="V385" s="226">
        <f>IF(C385="",NA(),IF(OR(C385="Smelter not listed",C385="Smelter not yet identified"),MATCH($B385&amp;$D385,'Smelter Look-up'!$J:$J,0),MATCH($B385&amp;$C385,'Smelter Look-up'!$J:$J,0)))</f>
        <v>606</v>
      </c>
      <c r="X385" s="227">
        <f t="shared" si="51"/>
        <v>0</v>
      </c>
      <c r="AB385" s="228" t="str">
        <f t="shared" si="52"/>
        <v>TungstenLianyou Metals Co., Ltd.</v>
      </c>
    </row>
    <row r="386" spans="1:28" s="227" customFormat="1" ht="25.5">
      <c r="A386" s="181" t="s">
        <v>15650</v>
      </c>
      <c r="B386" s="182" t="s">
        <v>1101</v>
      </c>
      <c r="C386" s="186" t="s">
        <v>15649</v>
      </c>
      <c r="D386" s="230" t="s">
        <v>15649</v>
      </c>
      <c r="E386" s="182" t="s">
        <v>2383</v>
      </c>
      <c r="F386" s="182" t="s">
        <v>15650</v>
      </c>
      <c r="G386" s="182" t="s">
        <v>13177</v>
      </c>
      <c r="H386" s="183"/>
      <c r="I386" s="184" t="s">
        <v>15660</v>
      </c>
      <c r="J386" s="184" t="s">
        <v>11437</v>
      </c>
      <c r="K386" s="224" t="s">
        <v>16856</v>
      </c>
      <c r="L386" s="224" t="s">
        <v>16857</v>
      </c>
      <c r="M386" s="224"/>
      <c r="N386" s="224" t="s">
        <v>15827</v>
      </c>
      <c r="O386" s="224" t="s">
        <v>16859</v>
      </c>
      <c r="P386" s="185" t="s">
        <v>15949</v>
      </c>
      <c r="Q386" s="225" t="s">
        <v>15829</v>
      </c>
      <c r="R386" s="182" t="str">
        <f ca="1">IF(ISERROR($V386),"",OFFSET('Smelter Look-up'!$C$4,$V386-4,0)&amp;"")</f>
        <v>Lianyou Resources Co., Ltd.</v>
      </c>
      <c r="S386" s="181" t="str">
        <f t="shared" ca="1" si="50"/>
        <v>TW</v>
      </c>
      <c r="T386" s="181" t="str">
        <f ca="1">IF(B386="","",IF(ISERROR(MATCH($J386,SorP!$B$1:$B$6226,0)),"",INDIRECT("'SorP'!$A$"&amp;MATCH($S386&amp;$J386,SorP!C:C,0))))</f>
        <v>TW-ILA</v>
      </c>
      <c r="U386" s="201"/>
      <c r="V386" s="226">
        <f>IF(C386="",NA(),IF(OR(C386="Smelter not listed",C386="Smelter not yet identified"),MATCH($B386&amp;$D386,'Smelter Look-up'!$J:$J,0),MATCH($B386&amp;$C386,'Smelter Look-up'!$J:$J,0)))</f>
        <v>607</v>
      </c>
      <c r="X386" s="227">
        <f t="shared" si="51"/>
        <v>0</v>
      </c>
      <c r="AB386" s="228" t="str">
        <f t="shared" si="52"/>
        <v>TungstenLianyou Resources Co., Ltd.</v>
      </c>
    </row>
    <row r="387" spans="1:28" s="227" customFormat="1" ht="25.5">
      <c r="A387" s="181" t="s">
        <v>15599</v>
      </c>
      <c r="B387" s="182" t="s">
        <v>1098</v>
      </c>
      <c r="C387" s="186" t="s">
        <v>15598</v>
      </c>
      <c r="D387" s="230" t="s">
        <v>15598</v>
      </c>
      <c r="E387" s="182" t="s">
        <v>2383</v>
      </c>
      <c r="F387" s="182" t="s">
        <v>15599</v>
      </c>
      <c r="G387" s="182" t="s">
        <v>13177</v>
      </c>
      <c r="H387" s="183"/>
      <c r="I387" s="184" t="s">
        <v>15600</v>
      </c>
      <c r="J387" s="184" t="s">
        <v>11441</v>
      </c>
      <c r="K387" s="224" t="s">
        <v>16860</v>
      </c>
      <c r="L387" s="224" t="s">
        <v>16861</v>
      </c>
      <c r="M387" s="224"/>
      <c r="N387" s="224" t="s">
        <v>15827</v>
      </c>
      <c r="O387" s="224" t="s">
        <v>2383</v>
      </c>
      <c r="P387" s="185" t="s">
        <v>15949</v>
      </c>
      <c r="Q387" s="225" t="s">
        <v>15829</v>
      </c>
      <c r="R387" s="182" t="str">
        <f ca="1">IF(ISERROR($V387),"",OFFSET('Smelter Look-up'!$C$4,$V387-4,0)&amp;"")</f>
        <v>Elite Industech Co., Ltd.</v>
      </c>
      <c r="S387" s="181" t="str">
        <f t="shared" ca="1" si="50"/>
        <v>TW</v>
      </c>
      <c r="T387" s="181" t="str">
        <f ca="1">IF(B387="","",IF(ISERROR(MATCH($J387,SorP!$B$1:$B$6226,0)),"",INDIRECT("'SorP'!$A$"&amp;MATCH($S387&amp;$J387,SorP!C:C,0))))</f>
        <v>TW-KHH</v>
      </c>
      <c r="U387" s="201"/>
      <c r="V387" s="226">
        <f>IF(C387="",NA(),IF(OR(C387="Smelter not listed",C387="Smelter not yet identified"),MATCH($B387&amp;$D387,'Smelter Look-up'!$J:$J,0),MATCH($B387&amp;$C387,'Smelter Look-up'!$J:$J,0)))</f>
        <v>77</v>
      </c>
      <c r="X387" s="227">
        <f t="shared" si="51"/>
        <v>0</v>
      </c>
      <c r="AB387" s="228" t="str">
        <f t="shared" si="52"/>
        <v>GoldElite Industech Co., Ltd.</v>
      </c>
    </row>
    <row r="388" spans="1:28" s="227" customFormat="1" ht="25.5">
      <c r="A388" s="181" t="s">
        <v>16862</v>
      </c>
      <c r="B388" s="182" t="s">
        <v>1099</v>
      </c>
      <c r="C388" s="186" t="s">
        <v>16863</v>
      </c>
      <c r="D388" s="230" t="s">
        <v>16863</v>
      </c>
      <c r="E388" s="182" t="s">
        <v>2383</v>
      </c>
      <c r="F388" s="182" t="s">
        <v>16862</v>
      </c>
      <c r="G388" s="182" t="s">
        <v>13177</v>
      </c>
      <c r="H388" s="183" t="s">
        <v>15840</v>
      </c>
      <c r="I388" s="184" t="s">
        <v>15840</v>
      </c>
      <c r="J388" s="184" t="s">
        <v>15840</v>
      </c>
      <c r="K388" s="224"/>
      <c r="L388" s="224"/>
      <c r="M388" s="224"/>
      <c r="N388" s="224"/>
      <c r="O388" s="224"/>
      <c r="P388" s="185"/>
      <c r="Q388" s="225"/>
      <c r="R388" s="182" t="str">
        <f ca="1">IF(ISERROR($V388),"",OFFSET('Smelter Look-up'!$C$4,$V388-4,0)&amp;"")</f>
        <v/>
      </c>
      <c r="S388" s="181" t="str">
        <f t="shared" ca="1" si="50"/>
        <v>TW</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si="51"/>
        <v>0</v>
      </c>
      <c r="AB388" s="228" t="str">
        <f t="shared" si="52"/>
        <v>TinMinchali Metal Industry Co., Ltd.</v>
      </c>
    </row>
    <row r="389" spans="1:28" s="227" customFormat="1" ht="25.5">
      <c r="A389" s="181" t="s">
        <v>16864</v>
      </c>
      <c r="B389" s="182" t="s">
        <v>1100</v>
      </c>
      <c r="C389" s="186" t="s">
        <v>1805</v>
      </c>
      <c r="D389" s="230" t="s">
        <v>761</v>
      </c>
      <c r="E389" s="182" t="s">
        <v>2383</v>
      </c>
      <c r="F389" s="182" t="s">
        <v>16864</v>
      </c>
      <c r="G389" s="182" t="s">
        <v>13177</v>
      </c>
      <c r="H389" s="183" t="s">
        <v>15840</v>
      </c>
      <c r="I389" s="184" t="s">
        <v>15840</v>
      </c>
      <c r="J389" s="184" t="s">
        <v>15840</v>
      </c>
      <c r="K389" s="224"/>
      <c r="L389" s="224"/>
      <c r="M389" s="224"/>
      <c r="N389" s="224"/>
      <c r="O389" s="224"/>
      <c r="P389" s="185"/>
      <c r="Q389" s="225"/>
      <c r="R389" s="182" t="str">
        <f ca="1">IF(ISERROR($V389),"",OFFSET('Smelter Look-up'!$C$4,$V389-4,0)&amp;"")</f>
        <v/>
      </c>
      <c r="S389" s="181" t="str">
        <f t="shared" ref="S389" ca="1" si="53">IF(B389="","",IF(ISERROR(MATCH($E389,CL,0)),"Unknown",INDIRECT("'C'!$A$"&amp;MATCH($E389,CL,0)+1)))</f>
        <v>TW</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si="54">IF(AND(C389="Smelter not listed",OR(LEN(D389)=0,LEN(E389)=0)),1,0)</f>
        <v>0</v>
      </c>
      <c r="AB389" s="228" t="str">
        <f t="shared" ref="AB389" si="55">B389&amp;C389</f>
        <v>TantalumSmelter not listed</v>
      </c>
    </row>
    <row r="390" spans="1:28" s="227" customFormat="1" ht="25.5">
      <c r="A390" s="181" t="s">
        <v>16865</v>
      </c>
      <c r="B390" s="182" t="s">
        <v>1101</v>
      </c>
      <c r="C390" s="186" t="s">
        <v>1805</v>
      </c>
      <c r="D390" s="230" t="s">
        <v>886</v>
      </c>
      <c r="E390" s="182" t="s">
        <v>2383</v>
      </c>
      <c r="F390" s="182" t="s">
        <v>16865</v>
      </c>
      <c r="G390" s="182" t="s">
        <v>13177</v>
      </c>
      <c r="H390" s="183" t="s">
        <v>15840</v>
      </c>
      <c r="I390" s="184" t="s">
        <v>15840</v>
      </c>
      <c r="J390" s="184" t="s">
        <v>15840</v>
      </c>
      <c r="K390" s="224"/>
      <c r="L390" s="224"/>
      <c r="M390" s="224"/>
      <c r="N390" s="224"/>
      <c r="O390" s="224"/>
      <c r="P390" s="185"/>
      <c r="Q390" s="225"/>
      <c r="R390" s="182" t="str">
        <f ca="1">IF(ISERROR($V390),"",OFFSET('Smelter Look-up'!$C$4,$V390-4,0)&amp;"")</f>
        <v/>
      </c>
      <c r="S390" s="181" t="str">
        <f t="shared" ref="S390:S421" ca="1" si="56">IF(B390="","",IF(ISERROR(MATCH($E390,CL,0)),"Unknown",INDIRECT("'C'!$A$"&amp;MATCH($E390,CL,0)+1)))</f>
        <v>TW</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si="57">IF(AND(C390="Smelter not listed",OR(LEN(D390)=0,LEN(E390)=0)),1,0)</f>
        <v>0</v>
      </c>
      <c r="AB390" s="228" t="str">
        <f t="shared" ref="AB390:AB421" si="58">B390&amp;C390</f>
        <v>TungstenSmelter not listed</v>
      </c>
    </row>
    <row r="391" spans="1:28" s="227" customFormat="1" ht="25.5">
      <c r="A391" s="181" t="s">
        <v>15294</v>
      </c>
      <c r="B391" s="182" t="s">
        <v>1098</v>
      </c>
      <c r="C391" s="186" t="s">
        <v>15293</v>
      </c>
      <c r="D391" s="230" t="s">
        <v>15293</v>
      </c>
      <c r="E391" s="182" t="s">
        <v>2383</v>
      </c>
      <c r="F391" s="182" t="s">
        <v>15294</v>
      </c>
      <c r="G391" s="182" t="s">
        <v>13177</v>
      </c>
      <c r="H391" s="183"/>
      <c r="I391" s="184" t="s">
        <v>1665</v>
      </c>
      <c r="J391" s="184" t="s">
        <v>1665</v>
      </c>
      <c r="K391" s="224"/>
      <c r="L391" s="224"/>
      <c r="M391" s="224"/>
      <c r="N391" s="224"/>
      <c r="O391" s="224" t="s">
        <v>16866</v>
      </c>
      <c r="P391" s="185"/>
      <c r="Q391" s="225"/>
      <c r="R391" s="182" t="str">
        <f ca="1">IF(ISERROR($V391),"",OFFSET('Smelter Look-up'!$C$4,$V391-4,0)&amp;"")</f>
        <v>Super Dragon Technology Co., Ltd.</v>
      </c>
      <c r="S391" s="181" t="str">
        <f t="shared" ca="1" si="56"/>
        <v>TW</v>
      </c>
      <c r="T391" s="181" t="str">
        <f ca="1">IF(B391="","",IF(ISERROR(MATCH($J391,SorP!$B$1:$B$6226,0)),"",INDIRECT("'SorP'!$A$"&amp;MATCH($S391&amp;$J391,SorP!C:C,0))))</f>
        <v>TW-TAO</v>
      </c>
      <c r="U391" s="201"/>
      <c r="V391" s="226">
        <f>IF(C391="",NA(),IF(OR(C391="Smelter not listed",C391="Smelter not yet identified"),MATCH($B391&amp;$D391,'Smelter Look-up'!$J:$J,0),MATCH($B391&amp;$C391,'Smelter Look-up'!$J:$J,0)))</f>
        <v>277</v>
      </c>
      <c r="X391" s="227">
        <f t="shared" si="57"/>
        <v>0</v>
      </c>
      <c r="AB391" s="228" t="str">
        <f t="shared" si="58"/>
        <v>GoldSuper Dragon Technology Co., Ltd.</v>
      </c>
    </row>
    <row r="392" spans="1:28" s="227" customFormat="1" ht="114.75">
      <c r="A392" s="181" t="s">
        <v>1359</v>
      </c>
      <c r="B392" s="182" t="s">
        <v>1098</v>
      </c>
      <c r="C392" s="186" t="s">
        <v>1358</v>
      </c>
      <c r="D392" s="230" t="s">
        <v>1358</v>
      </c>
      <c r="E392" s="182" t="s">
        <v>2383</v>
      </c>
      <c r="F392" s="182" t="s">
        <v>1359</v>
      </c>
      <c r="G392" s="182" t="s">
        <v>13177</v>
      </c>
      <c r="H392" s="183"/>
      <c r="I392" s="184" t="s">
        <v>1664</v>
      </c>
      <c r="J392" s="184" t="s">
        <v>1665</v>
      </c>
      <c r="K392" s="224"/>
      <c r="L392" s="224"/>
      <c r="M392" s="224"/>
      <c r="N392" s="224"/>
      <c r="O392" s="224" t="s">
        <v>16867</v>
      </c>
      <c r="P392" s="185"/>
      <c r="Q392" s="225"/>
      <c r="R392" s="182" t="str">
        <f ca="1">IF(ISERROR($V392),"",OFFSET('Smelter Look-up'!$C$4,$V392-4,0)&amp;"")</f>
        <v>Singway Technology Co., Ltd.</v>
      </c>
      <c r="S392" s="181" t="str">
        <f t="shared" ca="1" si="56"/>
        <v>TW</v>
      </c>
      <c r="T392" s="181" t="str">
        <f ca="1">IF(B392="","",IF(ISERROR(MATCH($J392,SorP!$B$1:$B$6226,0)),"",INDIRECT("'SorP'!$A$"&amp;MATCH($S392&amp;$J392,SorP!C:C,0))))</f>
        <v>TW-TAO</v>
      </c>
      <c r="U392" s="201"/>
      <c r="V392" s="226">
        <f>IF(C392="",NA(),IF(OR(C392="Smelter not listed",C392="Smelter not yet identified"),MATCH($B392&amp;$D392,'Smelter Look-up'!$J:$J,0),MATCH($B392&amp;$C392,'Smelter Look-up'!$J:$J,0)))</f>
        <v>264</v>
      </c>
      <c r="X392" s="227">
        <f t="shared" si="57"/>
        <v>0</v>
      </c>
      <c r="AB392" s="228" t="str">
        <f t="shared" si="58"/>
        <v>GoldSingway Technology Co., Ltd.</v>
      </c>
    </row>
    <row r="393" spans="1:28" s="227" customFormat="1" ht="25.5">
      <c r="A393" s="181" t="s">
        <v>15602</v>
      </c>
      <c r="B393" s="182" t="s">
        <v>1098</v>
      </c>
      <c r="C393" s="186" t="s">
        <v>15601</v>
      </c>
      <c r="D393" s="230" t="s">
        <v>15601</v>
      </c>
      <c r="E393" s="182" t="s">
        <v>16868</v>
      </c>
      <c r="F393" s="182" t="s">
        <v>15602</v>
      </c>
      <c r="G393" s="182" t="s">
        <v>13177</v>
      </c>
      <c r="H393" s="183"/>
      <c r="I393" s="184" t="s">
        <v>15603</v>
      </c>
      <c r="J393" s="184" t="s">
        <v>11491</v>
      </c>
      <c r="K393" s="224" t="s">
        <v>16869</v>
      </c>
      <c r="L393" s="224" t="s">
        <v>16870</v>
      </c>
      <c r="M393" s="224" t="s">
        <v>15875</v>
      </c>
      <c r="N393" s="224" t="s">
        <v>15827</v>
      </c>
      <c r="O393" s="224" t="s">
        <v>16868</v>
      </c>
      <c r="P393" s="185" t="s">
        <v>12407</v>
      </c>
      <c r="Q393" s="225" t="s">
        <v>15829</v>
      </c>
      <c r="R393" s="182" t="str">
        <f ca="1">IF(ISERROR($V393),"",OFFSET('Smelter Look-up'!$C$4,$V393-4,0)&amp;"")</f>
        <v>GG Refinery Ltd.</v>
      </c>
      <c r="S393" s="181" t="str">
        <f t="shared" ca="1" si="56"/>
        <v>Unknown</v>
      </c>
      <c r="T393" s="181" t="e">
        <f ca="1">IF(B393="","",IF(ISERROR(MATCH($J393,SorP!$B$1:$B$6226,0)),"",INDIRECT("'SorP'!$A$"&amp;MATCH($S393&amp;$J393,SorP!C:C,0))))</f>
        <v>#N/A</v>
      </c>
      <c r="U393" s="201"/>
      <c r="V393" s="226">
        <f>IF(C393="",NA(),IF(OR(C393="Smelter not listed",C393="Smelter not yet identified"),MATCH($B393&amp;$D393,'Smelter Look-up'!$J:$J,0),MATCH($B393&amp;$C393,'Smelter Look-up'!$J:$J,0)))</f>
        <v>90</v>
      </c>
      <c r="X393" s="227">
        <f t="shared" si="57"/>
        <v>0</v>
      </c>
      <c r="AB393" s="228" t="str">
        <f t="shared" si="58"/>
        <v>GoldGG Refinery Ltd.</v>
      </c>
    </row>
    <row r="394" spans="1:28" s="227" customFormat="1" ht="76.5">
      <c r="A394" s="181" t="s">
        <v>763</v>
      </c>
      <c r="B394" s="182" t="s">
        <v>1099</v>
      </c>
      <c r="C394" s="186" t="s">
        <v>1000</v>
      </c>
      <c r="D394" s="230" t="s">
        <v>1000</v>
      </c>
      <c r="E394" s="182" t="s">
        <v>859</v>
      </c>
      <c r="F394" s="182" t="s">
        <v>763</v>
      </c>
      <c r="G394" s="182" t="s">
        <v>13177</v>
      </c>
      <c r="H394" s="183" t="s">
        <v>16871</v>
      </c>
      <c r="I394" s="184" t="s">
        <v>1752</v>
      </c>
      <c r="J394" s="184" t="s">
        <v>1753</v>
      </c>
      <c r="K394" s="224" t="s">
        <v>16872</v>
      </c>
      <c r="L394" s="224" t="s">
        <v>16873</v>
      </c>
      <c r="M394" s="224" t="s">
        <v>15826</v>
      </c>
      <c r="N394" s="224" t="s">
        <v>16874</v>
      </c>
      <c r="O394" s="224" t="s">
        <v>16875</v>
      </c>
      <c r="P394" s="185" t="s">
        <v>12407</v>
      </c>
      <c r="Q394" s="225" t="s">
        <v>15829</v>
      </c>
      <c r="R394" s="182" t="str">
        <f ca="1">IF(ISERROR($V394),"",OFFSET('Smelter Look-up'!$C$4,$V394-4,0)&amp;"")</f>
        <v>Thaisarco</v>
      </c>
      <c r="S394" s="181" t="str">
        <f t="shared" ca="1" si="56"/>
        <v>TH</v>
      </c>
      <c r="T394" s="181" t="str">
        <f ca="1">IF(B394="","",IF(ISERROR(MATCH($J394,SorP!$B$1:$B$6226,0)),"",INDIRECT("'SorP'!$A$"&amp;MATCH($S394&amp;$J394,SorP!C:C,0))))</f>
        <v>TH-83</v>
      </c>
      <c r="U394" s="201"/>
      <c r="V394" s="226">
        <f>IF(C394="",NA(),IF(OR(C394="Smelter not listed",C394="Smelter not yet identified"),MATCH($B394&amp;$D394,'Smelter Look-up'!$J:$J,0),MATCH($B394&amp;$C394,'Smelter Look-up'!$J:$J,0)))</f>
        <v>521</v>
      </c>
      <c r="X394" s="227">
        <f t="shared" si="57"/>
        <v>0</v>
      </c>
      <c r="AB394" s="228" t="str">
        <f t="shared" si="58"/>
        <v>TinThaisarco</v>
      </c>
    </row>
    <row r="395" spans="1:28" s="227" customFormat="1" ht="63.75">
      <c r="A395" s="181" t="s">
        <v>757</v>
      </c>
      <c r="B395" s="182" t="s">
        <v>1099</v>
      </c>
      <c r="C395" s="186" t="s">
        <v>756</v>
      </c>
      <c r="D395" s="230" t="s">
        <v>756</v>
      </c>
      <c r="E395" s="182" t="s">
        <v>859</v>
      </c>
      <c r="F395" s="182" t="s">
        <v>757</v>
      </c>
      <c r="G395" s="182" t="s">
        <v>13177</v>
      </c>
      <c r="H395" s="183" t="s">
        <v>16876</v>
      </c>
      <c r="I395" s="184" t="s">
        <v>2292</v>
      </c>
      <c r="J395" s="184" t="s">
        <v>10972</v>
      </c>
      <c r="K395" s="224" t="s">
        <v>16877</v>
      </c>
      <c r="L395" s="224" t="s">
        <v>16878</v>
      </c>
      <c r="M395" s="224" t="s">
        <v>15826</v>
      </c>
      <c r="N395" s="224" t="s">
        <v>15827</v>
      </c>
      <c r="O395" s="224" t="s">
        <v>16600</v>
      </c>
      <c r="P395" s="185" t="s">
        <v>475</v>
      </c>
      <c r="Q395" s="225" t="s">
        <v>15829</v>
      </c>
      <c r="R395" s="182" t="str">
        <f ca="1">IF(ISERROR($V395),"",OFFSET('Smelter Look-up'!$C$4,$V395-4,0)&amp;"")</f>
        <v>O.M. Manufacturing (Thailand) Co., Ltd.</v>
      </c>
      <c r="S395" s="181" t="str">
        <f t="shared" ca="1" si="56"/>
        <v>TH</v>
      </c>
      <c r="T395" s="181" t="str">
        <f ca="1">IF(B395="","",IF(ISERROR(MATCH($J395,SorP!$B$1:$B$6226,0)),"",INDIRECT("'SorP'!$A$"&amp;MATCH($S395&amp;$J395,SorP!C:C,0))))</f>
        <v>TH-20</v>
      </c>
      <c r="U395" s="201"/>
      <c r="V395" s="226">
        <f>IF(C395="",NA(),IF(OR(C395="Smelter not listed",C395="Smelter not yet identified"),MATCH($B395&amp;$D395,'Smelter Look-up'!$J:$J,0),MATCH($B395&amp;$C395,'Smelter Look-up'!$J:$J,0)))</f>
        <v>490</v>
      </c>
      <c r="X395" s="227">
        <f t="shared" si="57"/>
        <v>0</v>
      </c>
      <c r="AB395" s="228" t="str">
        <f t="shared" si="58"/>
        <v>TinO.M. Manufacturing (Thailand) Co., Ltd.</v>
      </c>
    </row>
    <row r="396" spans="1:28" s="227" customFormat="1" ht="63.75">
      <c r="A396" s="181" t="s">
        <v>1380</v>
      </c>
      <c r="B396" s="182" t="s">
        <v>1100</v>
      </c>
      <c r="C396" s="186" t="s">
        <v>14946</v>
      </c>
      <c r="D396" s="230" t="s">
        <v>14946</v>
      </c>
      <c r="E396" s="182" t="s">
        <v>859</v>
      </c>
      <c r="F396" s="182" t="s">
        <v>1380</v>
      </c>
      <c r="G396" s="182" t="s">
        <v>13177</v>
      </c>
      <c r="H396" s="183" t="s">
        <v>16879</v>
      </c>
      <c r="I396" s="184" t="s">
        <v>1707</v>
      </c>
      <c r="J396" s="184" t="s">
        <v>1708</v>
      </c>
      <c r="K396" s="224" t="s">
        <v>16342</v>
      </c>
      <c r="L396" s="224" t="s">
        <v>16343</v>
      </c>
      <c r="M396" s="224" t="s">
        <v>15833</v>
      </c>
      <c r="N396" s="224" t="s">
        <v>15827</v>
      </c>
      <c r="O396" s="224" t="s">
        <v>15964</v>
      </c>
      <c r="P396" s="185" t="s">
        <v>12407</v>
      </c>
      <c r="Q396" s="225" t="s">
        <v>15829</v>
      </c>
      <c r="R396" s="182" t="str">
        <f ca="1">IF(ISERROR($V396),"",OFFSET('Smelter Look-up'!$C$4,$V396-4,0)&amp;"")</f>
        <v>TANIOBIS Co., Ltd.</v>
      </c>
      <c r="S396" s="181" t="str">
        <f t="shared" ca="1" si="56"/>
        <v>TH</v>
      </c>
      <c r="T396" s="181" t="str">
        <f ca="1">IF(B396="","",IF(ISERROR(MATCH($J396,SorP!$B$1:$B$6226,0)),"",INDIRECT("'SorP'!$A$"&amp;MATCH($S396&amp;$J396,SorP!C:C,0))))</f>
        <v>TH-21</v>
      </c>
      <c r="U396" s="201"/>
      <c r="V396" s="226">
        <f>IF(C396="",NA(),IF(OR(C396="Smelter not listed",C396="Smelter not yet identified"),MATCH($B396&amp;$D396,'Smelter Look-up'!$J:$J,0),MATCH($B396&amp;$C396,'Smelter Look-up'!$J:$J,0)))</f>
        <v>384</v>
      </c>
      <c r="X396" s="227">
        <f t="shared" si="57"/>
        <v>0</v>
      </c>
      <c r="AB396" s="228" t="str">
        <f t="shared" si="58"/>
        <v>TantalumTANIOBIS Co., Ltd.</v>
      </c>
    </row>
    <row r="397" spans="1:28" s="227" customFormat="1" ht="20.25">
      <c r="A397" s="181" t="s">
        <v>16880</v>
      </c>
      <c r="B397" s="182" t="s">
        <v>1101</v>
      </c>
      <c r="C397" s="186" t="s">
        <v>1000</v>
      </c>
      <c r="D397" s="230" t="s">
        <v>1000</v>
      </c>
      <c r="E397" s="182" t="s">
        <v>859</v>
      </c>
      <c r="F397" s="182" t="s">
        <v>16880</v>
      </c>
      <c r="G397" s="182" t="s">
        <v>13177</v>
      </c>
      <c r="H397" s="183" t="s">
        <v>15840</v>
      </c>
      <c r="I397" s="184" t="s">
        <v>15840</v>
      </c>
      <c r="J397" s="184" t="s">
        <v>15840</v>
      </c>
      <c r="K397" s="224"/>
      <c r="L397" s="224"/>
      <c r="M397" s="224"/>
      <c r="N397" s="224"/>
      <c r="O397" s="224"/>
      <c r="P397" s="185"/>
      <c r="Q397" s="225"/>
      <c r="R397" s="182" t="str">
        <f ca="1">IF(ISERROR($V397),"",OFFSET('Smelter Look-up'!$C$4,$V397-4,0)&amp;"")</f>
        <v/>
      </c>
      <c r="S397" s="181" t="str">
        <f t="shared" ca="1" si="56"/>
        <v>TH</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si="57"/>
        <v>0</v>
      </c>
      <c r="AB397" s="228" t="str">
        <f t="shared" si="58"/>
        <v>TungstenThaisarco</v>
      </c>
    </row>
    <row r="398" spans="1:28" s="227" customFormat="1" ht="63.75">
      <c r="A398" s="181" t="s">
        <v>139</v>
      </c>
      <c r="B398" s="182" t="s">
        <v>1098</v>
      </c>
      <c r="C398" s="186" t="s">
        <v>138</v>
      </c>
      <c r="D398" s="230" t="s">
        <v>138</v>
      </c>
      <c r="E398" s="182" t="s">
        <v>859</v>
      </c>
      <c r="F398" s="182" t="s">
        <v>139</v>
      </c>
      <c r="G398" s="182" t="s">
        <v>13177</v>
      </c>
      <c r="H398" s="183"/>
      <c r="I398" s="184" t="s">
        <v>12354</v>
      </c>
      <c r="J398" s="184" t="s">
        <v>11002</v>
      </c>
      <c r="K398" s="224"/>
      <c r="L398" s="224"/>
      <c r="M398" s="224"/>
      <c r="N398" s="224"/>
      <c r="O398" s="224" t="s">
        <v>16881</v>
      </c>
      <c r="P398" s="185"/>
      <c r="Q398" s="225"/>
      <c r="R398" s="182" t="str">
        <f ca="1">IF(ISERROR($V398),"",OFFSET('Smelter Look-up'!$C$4,$V398-4,0)&amp;"")</f>
        <v>Umicore Precious Metals Thailand</v>
      </c>
      <c r="S398" s="181" t="str">
        <f t="shared" ca="1" si="56"/>
        <v>TH</v>
      </c>
      <c r="T398" s="181" t="str">
        <f ca="1">IF(B398="","",IF(ISERROR(MATCH($J398,SorP!$B$1:$B$6226,0)),"",INDIRECT("'SorP'!$A$"&amp;MATCH($S398&amp;$J398,SorP!C:C,0))))</f>
        <v>TH-10</v>
      </c>
      <c r="U398" s="201"/>
      <c r="V398" s="226">
        <f>IF(C398="",NA(),IF(OR(C398="Smelter not listed",C398="Smelter not yet identified"),MATCH($B398&amp;$D398,'Smelter Look-up'!$J:$J,0),MATCH($B398&amp;$C398,'Smelter Look-up'!$J:$J,0)))</f>
        <v>301</v>
      </c>
      <c r="X398" s="227">
        <f t="shared" si="57"/>
        <v>0</v>
      </c>
      <c r="AB398" s="228" t="str">
        <f t="shared" si="58"/>
        <v>GoldUmicore Precious Metals Thailand</v>
      </c>
    </row>
    <row r="399" spans="1:28" s="227" customFormat="1" ht="178.5">
      <c r="A399" s="181" t="s">
        <v>666</v>
      </c>
      <c r="B399" s="182" t="s">
        <v>1098</v>
      </c>
      <c r="C399" s="186" t="s">
        <v>1201</v>
      </c>
      <c r="D399" s="230" t="s">
        <v>1201</v>
      </c>
      <c r="E399" s="182" t="s">
        <v>860</v>
      </c>
      <c r="F399" s="182" t="s">
        <v>666</v>
      </c>
      <c r="G399" s="182" t="s">
        <v>13177</v>
      </c>
      <c r="H399" s="183" t="s">
        <v>16882</v>
      </c>
      <c r="I399" s="184" t="s">
        <v>1561</v>
      </c>
      <c r="J399" s="184" t="s">
        <v>11215</v>
      </c>
      <c r="K399" s="224" t="s">
        <v>16883</v>
      </c>
      <c r="L399" s="224" t="s">
        <v>16884</v>
      </c>
      <c r="M399" s="224" t="s">
        <v>15826</v>
      </c>
      <c r="N399" s="224" t="s">
        <v>15827</v>
      </c>
      <c r="O399" s="224" t="s">
        <v>16885</v>
      </c>
      <c r="P399" s="185" t="s">
        <v>12407</v>
      </c>
      <c r="Q399" s="225" t="s">
        <v>15871</v>
      </c>
      <c r="R399" s="182" t="str">
        <f ca="1">IF(ISERROR($V399),"",OFFSET('Smelter Look-up'!$C$4,$V399-4,0)&amp;"")</f>
        <v>Istanbul Gold Refinery</v>
      </c>
      <c r="S399" s="181" t="str">
        <f t="shared" ca="1" si="56"/>
        <v>TR</v>
      </c>
      <c r="T399" s="181" t="str">
        <f ca="1">IF(B399="","",IF(ISERROR(MATCH($J399,SorP!$B$1:$B$6226,0)),"",INDIRECT("'SorP'!$A$"&amp;MATCH($S399&amp;$J399,SorP!C:C,0))))</f>
        <v>TR-34</v>
      </c>
      <c r="U399" s="201"/>
      <c r="V399" s="226">
        <f>IF(C399="",NA(),IF(OR(C399="Smelter not listed",C399="Smelter not yet identified"),MATCH($B399&amp;$D399,'Smelter Look-up'!$J:$J,0),MATCH($B399&amp;$C399,'Smelter Look-up'!$J:$J,0)))</f>
        <v>124</v>
      </c>
      <c r="X399" s="227">
        <f t="shared" si="57"/>
        <v>0</v>
      </c>
      <c r="AB399" s="228" t="str">
        <f t="shared" si="58"/>
        <v>GoldIstanbul Gold Refinery</v>
      </c>
    </row>
    <row r="400" spans="1:28" s="227" customFormat="1" ht="102">
      <c r="A400" s="181" t="s">
        <v>694</v>
      </c>
      <c r="B400" s="182" t="s">
        <v>1098</v>
      </c>
      <c r="C400" s="186" t="s">
        <v>12378</v>
      </c>
      <c r="D400" s="230" t="s">
        <v>12378</v>
      </c>
      <c r="E400" s="182" t="s">
        <v>860</v>
      </c>
      <c r="F400" s="182" t="s">
        <v>694</v>
      </c>
      <c r="G400" s="182" t="s">
        <v>13177</v>
      </c>
      <c r="H400" s="183" t="s">
        <v>16886</v>
      </c>
      <c r="I400" s="184" t="s">
        <v>1597</v>
      </c>
      <c r="J400" s="184" t="s">
        <v>11215</v>
      </c>
      <c r="K400" s="224" t="s">
        <v>16887</v>
      </c>
      <c r="L400" s="224" t="s">
        <v>16888</v>
      </c>
      <c r="M400" s="224" t="s">
        <v>15826</v>
      </c>
      <c r="N400" s="224" t="s">
        <v>15827</v>
      </c>
      <c r="O400" s="224" t="s">
        <v>16889</v>
      </c>
      <c r="P400" s="185" t="s">
        <v>12407</v>
      </c>
      <c r="Q400" s="225" t="s">
        <v>15829</v>
      </c>
      <c r="R400" s="182" t="str">
        <f ca="1">IF(ISERROR($V400),"",OFFSET('Smelter Look-up'!$C$4,$V400-4,0)&amp;"")</f>
        <v>Nadir Metal Rafineri San. Ve Tic. A.S.</v>
      </c>
      <c r="S400" s="181" t="str">
        <f t="shared" ca="1" si="56"/>
        <v>TR</v>
      </c>
      <c r="T400" s="181" t="str">
        <f ca="1">IF(B400="","",IF(ISERROR(MATCH($J400,SorP!$B$1:$B$6226,0)),"",INDIRECT("'SorP'!$A$"&amp;MATCH($S400&amp;$J400,SorP!C:C,0))))</f>
        <v>TR-34</v>
      </c>
      <c r="U400" s="201"/>
      <c r="V400" s="226">
        <f>IF(C400="",NA(),IF(OR(C400="Smelter not listed",C400="Smelter not yet identified"),MATCH($B400&amp;$D400,'Smelter Look-up'!$J:$J,0),MATCH($B400&amp;$C400,'Smelter Look-up'!$J:$J,0)))</f>
        <v>197</v>
      </c>
      <c r="X400" s="227">
        <f t="shared" si="57"/>
        <v>0</v>
      </c>
      <c r="AB400" s="228" t="str">
        <f t="shared" si="58"/>
        <v>GoldNadir Metal Rafineri San. Ve Tic. A.S.</v>
      </c>
    </row>
    <row r="401" spans="1:28" s="227" customFormat="1" ht="38.25">
      <c r="A401" s="181" t="s">
        <v>640</v>
      </c>
      <c r="B401" s="182" t="s">
        <v>1098</v>
      </c>
      <c r="C401" s="186" t="s">
        <v>608</v>
      </c>
      <c r="D401" s="230" t="s">
        <v>608</v>
      </c>
      <c r="E401" s="182" t="s">
        <v>860</v>
      </c>
      <c r="F401" s="182" t="s">
        <v>640</v>
      </c>
      <c r="G401" s="182" t="s">
        <v>13177</v>
      </c>
      <c r="H401" s="183"/>
      <c r="I401" s="184" t="s">
        <v>1522</v>
      </c>
      <c r="J401" s="184" t="s">
        <v>11215</v>
      </c>
      <c r="K401" s="224"/>
      <c r="L401" s="224"/>
      <c r="M401" s="224"/>
      <c r="N401" s="224"/>
      <c r="O401" s="224" t="s">
        <v>16890</v>
      </c>
      <c r="P401" s="185"/>
      <c r="Q401" s="225"/>
      <c r="R401" s="182" t="str">
        <f ca="1">IF(ISERROR($V401),"",OFFSET('Smelter Look-up'!$C$4,$V401-4,0)&amp;"")</f>
        <v>Atasay Kuyumculuk Sanayi Ve Ticaret A.S.</v>
      </c>
      <c r="S401" s="181" t="str">
        <f t="shared" ca="1" si="56"/>
        <v>TR</v>
      </c>
      <c r="T401" s="181" t="str">
        <f ca="1">IF(B401="","",IF(ISERROR(MATCH($J401,SorP!$B$1:$B$6226,0)),"",INDIRECT("'SorP'!$A$"&amp;MATCH($S401&amp;$J401,SorP!C:C,0))))</f>
        <v>TR-34</v>
      </c>
      <c r="U401" s="201"/>
      <c r="V401" s="226">
        <f>IF(C401="",NA(),IF(OR(C401="Smelter not listed",C401="Smelter not yet identified"),MATCH($B401&amp;$D401,'Smelter Look-up'!$J:$J,0),MATCH($B401&amp;$C401,'Smelter Look-up'!$J:$J,0)))</f>
        <v>35</v>
      </c>
      <c r="X401" s="227">
        <f t="shared" si="57"/>
        <v>0</v>
      </c>
      <c r="AB401" s="228" t="str">
        <f t="shared" si="58"/>
        <v>GoldAtasay Kuyumculuk Sanayi Ve Ticaret A.S.</v>
      </c>
    </row>
    <row r="402" spans="1:28" s="227" customFormat="1" ht="38.25">
      <c r="A402" s="181" t="s">
        <v>15641</v>
      </c>
      <c r="B402" s="182" t="s">
        <v>1099</v>
      </c>
      <c r="C402" s="186" t="s">
        <v>15640</v>
      </c>
      <c r="D402" s="230" t="s">
        <v>15640</v>
      </c>
      <c r="E402" s="182" t="s">
        <v>861</v>
      </c>
      <c r="F402" s="182" t="s">
        <v>15641</v>
      </c>
      <c r="G402" s="182" t="s">
        <v>13177</v>
      </c>
      <c r="H402" s="183"/>
      <c r="I402" s="184" t="s">
        <v>11805</v>
      </c>
      <c r="J402" s="184" t="s">
        <v>16891</v>
      </c>
      <c r="K402" s="224" t="s">
        <v>16892</v>
      </c>
      <c r="L402" s="224" t="s">
        <v>16893</v>
      </c>
      <c r="M402" s="224" t="s">
        <v>15875</v>
      </c>
      <c r="N402" s="224" t="s">
        <v>15827</v>
      </c>
      <c r="O402" s="224" t="s">
        <v>861</v>
      </c>
      <c r="P402" s="185" t="s">
        <v>12407</v>
      </c>
      <c r="Q402" s="225" t="s">
        <v>15829</v>
      </c>
      <c r="R402" s="182" t="str">
        <f ca="1">IF(ISERROR($V402),"",OFFSET('Smelter Look-up'!$C$4,$V402-4,0)&amp;"")</f>
        <v>Woodcross Smelting Company Limited</v>
      </c>
      <c r="S402" s="181" t="str">
        <f t="shared" ca="1" si="56"/>
        <v>UG</v>
      </c>
      <c r="T402" s="181" t="str">
        <f ca="1">IF(B402="","",IF(ISERROR(MATCH($J402,SorP!$B$1:$B$6226,0)),"",INDIRECT("'SorP'!$A$"&amp;MATCH($S402&amp;$J402,SorP!C:C,0))))</f>
        <v/>
      </c>
      <c r="U402" s="201"/>
      <c r="V402" s="226">
        <f>IF(C402="",NA(),IF(OR(C402="Smelter not listed",C402="Smelter not yet identified"),MATCH($B402&amp;$D402,'Smelter Look-up'!$J:$J,0),MATCH($B402&amp;$C402,'Smelter Look-up'!$J:$J,0)))</f>
        <v>533</v>
      </c>
      <c r="X402" s="227">
        <f t="shared" si="57"/>
        <v>0</v>
      </c>
      <c r="AB402" s="228" t="str">
        <f t="shared" si="58"/>
        <v>TinWoodcross Smelting Company Limited</v>
      </c>
    </row>
    <row r="403" spans="1:28" s="227" customFormat="1" ht="114.75">
      <c r="A403" s="181" t="s">
        <v>1667</v>
      </c>
      <c r="B403" s="182" t="s">
        <v>1098</v>
      </c>
      <c r="C403" s="186" t="s">
        <v>1666</v>
      </c>
      <c r="D403" s="230" t="s">
        <v>1666</v>
      </c>
      <c r="E403" s="182" t="s">
        <v>1061</v>
      </c>
      <c r="F403" s="182" t="s">
        <v>1667</v>
      </c>
      <c r="G403" s="182" t="s">
        <v>13177</v>
      </c>
      <c r="H403" s="183"/>
      <c r="I403" s="184" t="s">
        <v>1668</v>
      </c>
      <c r="J403" s="184" t="s">
        <v>2524</v>
      </c>
      <c r="K403" s="224"/>
      <c r="L403" s="224"/>
      <c r="M403" s="224"/>
      <c r="N403" s="224"/>
      <c r="O403" s="224" t="s">
        <v>16894</v>
      </c>
      <c r="P403" s="185"/>
      <c r="Q403" s="225"/>
      <c r="R403" s="182" t="str">
        <f ca="1">IF(ISERROR($V403),"",OFFSET('Smelter Look-up'!$C$4,$V403-4,0)&amp;"")</f>
        <v>Al Etihad Gold Refinery DMCC</v>
      </c>
      <c r="S403" s="181" t="str">
        <f t="shared" ca="1" si="56"/>
        <v>AE</v>
      </c>
      <c r="T403" s="181" t="str">
        <f ca="1">IF(B403="","",IF(ISERROR(MATCH($J403,SorP!$B$1:$B$6226,0)),"",INDIRECT("'SorP'!$A$"&amp;MATCH($S403&amp;$J403,SorP!C:C,0))))</f>
        <v>AE-DU</v>
      </c>
      <c r="U403" s="201"/>
      <c r="V403" s="226">
        <f>IF(C403="",NA(),IF(OR(C403="Smelter not listed",C403="Smelter not yet identified"),MATCH($B403&amp;$D403,'Smelter Look-up'!$J:$J,0),MATCH($B403&amp;$C403,'Smelter Look-up'!$J:$J,0)))</f>
        <v>16</v>
      </c>
      <c r="X403" s="227">
        <f t="shared" si="57"/>
        <v>0</v>
      </c>
      <c r="AB403" s="228" t="str">
        <f t="shared" si="58"/>
        <v>GoldAl Etihad Gold Refinery DMCC</v>
      </c>
    </row>
    <row r="404" spans="1:28" s="227" customFormat="1" ht="102">
      <c r="A404" s="181" t="s">
        <v>1670</v>
      </c>
      <c r="B404" s="182" t="s">
        <v>1098</v>
      </c>
      <c r="C404" s="186" t="s">
        <v>1669</v>
      </c>
      <c r="D404" s="230" t="s">
        <v>1669</v>
      </c>
      <c r="E404" s="182" t="s">
        <v>1061</v>
      </c>
      <c r="F404" s="182" t="s">
        <v>1670</v>
      </c>
      <c r="G404" s="182" t="s">
        <v>13177</v>
      </c>
      <c r="H404" s="183"/>
      <c r="I404" s="184" t="s">
        <v>1668</v>
      </c>
      <c r="J404" s="184" t="s">
        <v>2524</v>
      </c>
      <c r="K404" s="224"/>
      <c r="L404" s="224"/>
      <c r="M404" s="224"/>
      <c r="N404" s="224"/>
      <c r="O404" s="224" t="s">
        <v>16895</v>
      </c>
      <c r="P404" s="185"/>
      <c r="Q404" s="225"/>
      <c r="R404" s="182" t="str">
        <f ca="1">IF(ISERROR($V404),"",OFFSET('Smelter Look-up'!$C$4,$V404-4,0)&amp;"")</f>
        <v>Emirates Gold DMCC</v>
      </c>
      <c r="S404" s="181" t="str">
        <f t="shared" ca="1" si="56"/>
        <v>AE</v>
      </c>
      <c r="T404" s="181" t="str">
        <f ca="1">IF(B404="","",IF(ISERROR(MATCH($J404,SorP!$B$1:$B$6226,0)),"",INDIRECT("'SorP'!$A$"&amp;MATCH($S404&amp;$J404,SorP!C:C,0))))</f>
        <v>AE-DU</v>
      </c>
      <c r="U404" s="201"/>
      <c r="V404" s="226">
        <f>IF(C404="",NA(),IF(OR(C404="Smelter not listed",C404="Smelter not yet identified"),MATCH($B404&amp;$D404,'Smelter Look-up'!$J:$J,0),MATCH($B404&amp;$C404,'Smelter Look-up'!$J:$J,0)))</f>
        <v>82</v>
      </c>
      <c r="X404" s="227">
        <f t="shared" si="57"/>
        <v>0</v>
      </c>
      <c r="AB404" s="228" t="str">
        <f t="shared" si="58"/>
        <v>GoldEmirates Gold DMCC</v>
      </c>
    </row>
    <row r="405" spans="1:28" s="227" customFormat="1" ht="25.5">
      <c r="A405" s="181" t="s">
        <v>13703</v>
      </c>
      <c r="B405" s="182" t="s">
        <v>1098</v>
      </c>
      <c r="C405" s="186" t="s">
        <v>13702</v>
      </c>
      <c r="D405" s="230" t="s">
        <v>13702</v>
      </c>
      <c r="E405" s="182" t="s">
        <v>1061</v>
      </c>
      <c r="F405" s="182" t="s">
        <v>13703</v>
      </c>
      <c r="G405" s="182" t="s">
        <v>13177</v>
      </c>
      <c r="H405" s="183"/>
      <c r="I405" s="184" t="s">
        <v>1668</v>
      </c>
      <c r="J405" s="184" t="s">
        <v>2524</v>
      </c>
      <c r="K405" s="224"/>
      <c r="L405" s="224"/>
      <c r="M405" s="224"/>
      <c r="N405" s="224"/>
      <c r="O405" s="224" t="s">
        <v>16896</v>
      </c>
      <c r="P405" s="185"/>
      <c r="Q405" s="225"/>
      <c r="R405" s="182" t="str">
        <f ca="1">IF(ISERROR($V405),"",OFFSET('Smelter Look-up'!$C$4,$V405-4,0)&amp;"")</f>
        <v>International Precious Metal Refiners</v>
      </c>
      <c r="S405" s="181" t="str">
        <f t="shared" ca="1" si="56"/>
        <v>AE</v>
      </c>
      <c r="T405" s="181" t="str">
        <f ca="1">IF(B405="","",IF(ISERROR(MATCH($J405,SorP!$B$1:$B$6226,0)),"",INDIRECT("'SorP'!$A$"&amp;MATCH($S405&amp;$J405,SorP!C:C,0))))</f>
        <v>AE-DU</v>
      </c>
      <c r="U405" s="201"/>
      <c r="V405" s="226">
        <f>IF(C405="",NA(),IF(OR(C405="Smelter not listed",C405="Smelter not yet identified"),MATCH($B405&amp;$D405,'Smelter Look-up'!$J:$J,0),MATCH($B405&amp;$C405,'Smelter Look-up'!$J:$J,0)))</f>
        <v>122</v>
      </c>
      <c r="X405" s="227">
        <f t="shared" si="57"/>
        <v>0</v>
      </c>
      <c r="AB405" s="228" t="str">
        <f t="shared" si="58"/>
        <v>GoldInternational Precious Metal Refiners</v>
      </c>
    </row>
    <row r="406" spans="1:28" s="227" customFormat="1" ht="25.5">
      <c r="A406" s="181" t="s">
        <v>1672</v>
      </c>
      <c r="B406" s="182" t="s">
        <v>1098</v>
      </c>
      <c r="C406" s="186" t="s">
        <v>1671</v>
      </c>
      <c r="D406" s="230" t="s">
        <v>1671</v>
      </c>
      <c r="E406" s="182" t="s">
        <v>1061</v>
      </c>
      <c r="F406" s="182" t="s">
        <v>1672</v>
      </c>
      <c r="G406" s="182" t="s">
        <v>13177</v>
      </c>
      <c r="H406" s="183"/>
      <c r="I406" s="184" t="s">
        <v>1668</v>
      </c>
      <c r="J406" s="184" t="s">
        <v>2524</v>
      </c>
      <c r="K406" s="224"/>
      <c r="L406" s="224"/>
      <c r="M406" s="224"/>
      <c r="N406" s="224"/>
      <c r="O406" s="224" t="s">
        <v>16897</v>
      </c>
      <c r="P406" s="185"/>
      <c r="Q406" s="225"/>
      <c r="R406" s="182" t="str">
        <f ca="1">IF(ISERROR($V406),"",OFFSET('Smelter Look-up'!$C$4,$V406-4,0)&amp;"")</f>
        <v>Kaloti Precious Metals</v>
      </c>
      <c r="S406" s="181" t="str">
        <f t="shared" ca="1" si="56"/>
        <v>AE</v>
      </c>
      <c r="T406" s="181" t="str">
        <f ca="1">IF(B406="","",IF(ISERROR(MATCH($J406,SorP!$B$1:$B$6226,0)),"",INDIRECT("'SorP'!$A$"&amp;MATCH($S406&amp;$J406,SorP!C:C,0))))</f>
        <v>AE-DU</v>
      </c>
      <c r="U406" s="201"/>
      <c r="V406" s="226">
        <f>IF(C406="",NA(),IF(OR(C406="Smelter not listed",C406="Smelter not yet identified"),MATCH($B406&amp;$D406,'Smelter Look-up'!$J:$J,0),MATCH($B406&amp;$C406,'Smelter Look-up'!$J:$J,0)))</f>
        <v>139</v>
      </c>
      <c r="X406" s="227">
        <f t="shared" si="57"/>
        <v>0</v>
      </c>
      <c r="AB406" s="228" t="str">
        <f t="shared" si="58"/>
        <v>GoldKaloti Precious Metals</v>
      </c>
    </row>
    <row r="407" spans="1:28" s="227" customFormat="1" ht="25.5">
      <c r="A407" s="181" t="s">
        <v>13701</v>
      </c>
      <c r="B407" s="182" t="s">
        <v>1098</v>
      </c>
      <c r="C407" s="186" t="s">
        <v>13700</v>
      </c>
      <c r="D407" s="230" t="s">
        <v>13700</v>
      </c>
      <c r="E407" s="182" t="s">
        <v>1061</v>
      </c>
      <c r="F407" s="182" t="s">
        <v>13701</v>
      </c>
      <c r="G407" s="182" t="s">
        <v>13177</v>
      </c>
      <c r="H407" s="183"/>
      <c r="I407" s="184" t="s">
        <v>13735</v>
      </c>
      <c r="J407" s="184" t="s">
        <v>2522</v>
      </c>
      <c r="K407" s="224"/>
      <c r="L407" s="224"/>
      <c r="M407" s="224"/>
      <c r="N407" s="224"/>
      <c r="O407" s="224" t="s">
        <v>16896</v>
      </c>
      <c r="P407" s="185"/>
      <c r="Q407" s="225"/>
      <c r="R407" s="182" t="str">
        <f ca="1">IF(ISERROR($V407),"",OFFSET('Smelter Look-up'!$C$4,$V407-4,0)&amp;"")</f>
        <v>Fujairah Gold FZC</v>
      </c>
      <c r="S407" s="181" t="str">
        <f t="shared" ca="1" si="56"/>
        <v>AE</v>
      </c>
      <c r="T407" s="181" t="str">
        <f ca="1">IF(B407="","",IF(ISERROR(MATCH($J407,SorP!$B$1:$B$6226,0)),"",INDIRECT("'SorP'!$A$"&amp;MATCH($S407&amp;$J407,SorP!C:C,0))))</f>
        <v>AE-FU</v>
      </c>
      <c r="U407" s="201"/>
      <c r="V407" s="226">
        <f>IF(C407="",NA(),IF(OR(C407="Smelter not listed",C407="Smelter not yet identified"),MATCH($B407&amp;$D407,'Smelter Look-up'!$J:$J,0),MATCH($B407&amp;$C407,'Smelter Look-up'!$J:$J,0)))</f>
        <v>86</v>
      </c>
      <c r="X407" s="227">
        <f t="shared" si="57"/>
        <v>0</v>
      </c>
      <c r="AB407" s="228" t="str">
        <f t="shared" si="58"/>
        <v>GoldFujairah Gold FZC</v>
      </c>
    </row>
    <row r="408" spans="1:28" s="227" customFormat="1" ht="25.5">
      <c r="A408" s="181" t="s">
        <v>16898</v>
      </c>
      <c r="B408" s="182" t="s">
        <v>1098</v>
      </c>
      <c r="C408" s="186" t="s">
        <v>16899</v>
      </c>
      <c r="D408" s="230" t="s">
        <v>16899</v>
      </c>
      <c r="E408" s="182" t="s">
        <v>1061</v>
      </c>
      <c r="F408" s="182" t="s">
        <v>16898</v>
      </c>
      <c r="G408" s="182" t="s">
        <v>13177</v>
      </c>
      <c r="H408" s="183" t="s">
        <v>15840</v>
      </c>
      <c r="I408" s="184" t="s">
        <v>15840</v>
      </c>
      <c r="J408" s="184" t="s">
        <v>15840</v>
      </c>
      <c r="K408" s="224"/>
      <c r="L408" s="224"/>
      <c r="M408" s="224"/>
      <c r="N408" s="224"/>
      <c r="O408" s="224"/>
      <c r="P408" s="185"/>
      <c r="Q408" s="225"/>
      <c r="R408" s="182" t="str">
        <f ca="1">IF(ISERROR($V408),"",OFFSET('Smelter Look-up'!$C$4,$V408-4,0)&amp;"")</f>
        <v/>
      </c>
      <c r="S408" s="181" t="str">
        <f t="shared" ca="1" si="56"/>
        <v>AE</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si="57"/>
        <v>0</v>
      </c>
      <c r="AB408" s="228" t="str">
        <f t="shared" si="58"/>
        <v>GoldARY Aurum Plus</v>
      </c>
    </row>
    <row r="409" spans="1:28" s="227" customFormat="1" ht="25.5">
      <c r="A409" s="181" t="s">
        <v>16900</v>
      </c>
      <c r="B409" s="182" t="s">
        <v>1098</v>
      </c>
      <c r="C409" s="186" t="s">
        <v>16901</v>
      </c>
      <c r="D409" s="230" t="s">
        <v>16901</v>
      </c>
      <c r="E409" s="182" t="s">
        <v>1061</v>
      </c>
      <c r="F409" s="182" t="s">
        <v>16900</v>
      </c>
      <c r="G409" s="182" t="s">
        <v>13177</v>
      </c>
      <c r="H409" s="183" t="s">
        <v>15840</v>
      </c>
      <c r="I409" s="184" t="s">
        <v>15840</v>
      </c>
      <c r="J409" s="184" t="s">
        <v>15840</v>
      </c>
      <c r="K409" s="224"/>
      <c r="L409" s="224"/>
      <c r="M409" s="224"/>
      <c r="N409" s="224"/>
      <c r="O409" s="224"/>
      <c r="P409" s="185"/>
      <c r="Q409" s="225"/>
      <c r="R409" s="182" t="str">
        <f ca="1">IF(ISERROR($V409),"",OFFSET('Smelter Look-up'!$C$4,$V409-4,0)&amp;"")</f>
        <v/>
      </c>
      <c r="S409" s="181" t="str">
        <f t="shared" ca="1" si="56"/>
        <v>AE</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si="57"/>
        <v>0</v>
      </c>
      <c r="AB409" s="228" t="str">
        <f t="shared" si="58"/>
        <v>GoldAl Ghaith Gold</v>
      </c>
    </row>
    <row r="410" spans="1:28" s="227" customFormat="1" ht="25.5">
      <c r="A410" s="181" t="s">
        <v>13699</v>
      </c>
      <c r="B410" s="182" t="s">
        <v>1098</v>
      </c>
      <c r="C410" s="186" t="s">
        <v>13698</v>
      </c>
      <c r="D410" s="230" t="s">
        <v>13698</v>
      </c>
      <c r="E410" s="182" t="s">
        <v>1061</v>
      </c>
      <c r="F410" s="182" t="s">
        <v>13699</v>
      </c>
      <c r="G410" s="182" t="s">
        <v>13177</v>
      </c>
      <c r="H410" s="183"/>
      <c r="I410" s="184" t="s">
        <v>13734</v>
      </c>
      <c r="J410" s="184" t="s">
        <v>2520</v>
      </c>
      <c r="K410" s="224"/>
      <c r="L410" s="224"/>
      <c r="M410" s="224"/>
      <c r="N410" s="224"/>
      <c r="O410" s="224" t="s">
        <v>16896</v>
      </c>
      <c r="P410" s="185"/>
      <c r="Q410" s="225"/>
      <c r="R410" s="182" t="str">
        <f ca="1">IF(ISERROR($V410),"",OFFSET('Smelter Look-up'!$C$4,$V410-4,0)&amp;"")</f>
        <v>Dijllah Gold Refinery FZC</v>
      </c>
      <c r="S410" s="181" t="str">
        <f t="shared" ca="1" si="56"/>
        <v>AE</v>
      </c>
      <c r="T410" s="181" t="str">
        <f ca="1">IF(B410="","",IF(ISERROR(MATCH($J410,SorP!$B$1:$B$6226,0)),"",INDIRECT("'SorP'!$A$"&amp;MATCH($S410&amp;$J410,SorP!C:C,0))))</f>
        <v>AE-SH</v>
      </c>
      <c r="U410" s="201"/>
      <c r="V410" s="226">
        <f>IF(C410="",NA(),IF(OR(C410="Smelter not listed",C410="Smelter not yet identified"),MATCH($B410&amp;$D410,'Smelter Look-up'!$J:$J,0),MATCH($B410&amp;$C410,'Smelter Look-up'!$J:$J,0)))</f>
        <v>64</v>
      </c>
      <c r="X410" s="227">
        <f t="shared" si="57"/>
        <v>0</v>
      </c>
      <c r="AB410" s="228" t="str">
        <f t="shared" si="58"/>
        <v>GoldDijllah Gold Refinery FZC</v>
      </c>
    </row>
    <row r="411" spans="1:28" s="227" customFormat="1" ht="25.5">
      <c r="A411" s="181" t="s">
        <v>15336</v>
      </c>
      <c r="B411" s="182" t="s">
        <v>1098</v>
      </c>
      <c r="C411" s="186" t="s">
        <v>15677</v>
      </c>
      <c r="D411" s="230" t="s">
        <v>15677</v>
      </c>
      <c r="E411" s="182" t="s">
        <v>1061</v>
      </c>
      <c r="F411" s="182" t="s">
        <v>15336</v>
      </c>
      <c r="G411" s="182" t="s">
        <v>13177</v>
      </c>
      <c r="H411" s="183"/>
      <c r="I411" s="184" t="s">
        <v>1668</v>
      </c>
      <c r="J411" s="184" t="s">
        <v>2524</v>
      </c>
      <c r="K411" s="224"/>
      <c r="L411" s="224"/>
      <c r="M411" s="224"/>
      <c r="N411" s="224"/>
      <c r="O411" s="224"/>
      <c r="P411" s="185"/>
      <c r="Q411" s="225"/>
      <c r="R411" s="182" t="str">
        <f ca="1">IF(ISERROR($V411),"",OFFSET('Smelter Look-up'!$C$4,$V411-4,0)&amp;"")</f>
        <v>SAM Precious Metals FZ-LLC</v>
      </c>
      <c r="S411" s="181" t="str">
        <f t="shared" ca="1" si="56"/>
        <v>AE</v>
      </c>
      <c r="T411" s="181" t="str">
        <f ca="1">IF(B411="","",IF(ISERROR(MATCH($J411,SorP!$B$1:$B$6226,0)),"",INDIRECT("'SorP'!$A$"&amp;MATCH($S411&amp;$J411,SorP!C:C,0))))</f>
        <v>AE-DU</v>
      </c>
      <c r="U411" s="201"/>
      <c r="V411" s="226">
        <f>IF(C411="",NA(),IF(OR(C411="Smelter not listed",C411="Smelter not yet identified"),MATCH($B411&amp;$D411,'Smelter Look-up'!$J:$J,0),MATCH($B411&amp;$C411,'Smelter Look-up'!$J:$J,0)))</f>
        <v>237</v>
      </c>
      <c r="X411" s="227">
        <f t="shared" si="57"/>
        <v>0</v>
      </c>
      <c r="AB411" s="228" t="str">
        <f t="shared" si="58"/>
        <v>GoldSAM Precious Metals FZ-LLC</v>
      </c>
    </row>
    <row r="412" spans="1:28" s="227" customFormat="1" ht="38.25">
      <c r="A412" s="181" t="s">
        <v>1350</v>
      </c>
      <c r="B412" s="182" t="s">
        <v>1098</v>
      </c>
      <c r="C412" s="186" t="s">
        <v>1349</v>
      </c>
      <c r="D412" s="230" t="s">
        <v>1349</v>
      </c>
      <c r="E412" s="182" t="s">
        <v>2384</v>
      </c>
      <c r="F412" s="182" t="s">
        <v>1350</v>
      </c>
      <c r="G412" s="182" t="s">
        <v>13177</v>
      </c>
      <c r="H412" s="183"/>
      <c r="I412" s="184" t="s">
        <v>1506</v>
      </c>
      <c r="J412" s="184" t="s">
        <v>1507</v>
      </c>
      <c r="K412" s="224" t="s">
        <v>16902</v>
      </c>
      <c r="L412" s="224" t="s">
        <v>16903</v>
      </c>
      <c r="M412" s="224" t="s">
        <v>15875</v>
      </c>
      <c r="N412" s="224" t="s">
        <v>15827</v>
      </c>
      <c r="O412" s="224" t="s">
        <v>16904</v>
      </c>
      <c r="P412" s="185" t="s">
        <v>15949</v>
      </c>
      <c r="Q412" s="225" t="s">
        <v>15829</v>
      </c>
      <c r="R412" s="182" t="str">
        <f ca="1">IF(ISERROR($V412),"",OFFSET('Smelter Look-up'!$C$4,$V412-4,0)&amp;"")</f>
        <v>Advanced Chemical Company</v>
      </c>
      <c r="S412" s="181" t="str">
        <f t="shared" ca="1" si="56"/>
        <v>US</v>
      </c>
      <c r="T412" s="181" t="str">
        <f ca="1">IF(B412="","",IF(ISERROR(MATCH($J412,SorP!$B$1:$B$6226,0)),"",INDIRECT("'SorP'!$A$"&amp;MATCH($S412&amp;$J412,SorP!C:C,0))))</f>
        <v>US-RI</v>
      </c>
      <c r="U412" s="201"/>
      <c r="V412" s="226">
        <f>IF(C412="",NA(),IF(OR(C412="Smelter not listed",C412="Smelter not yet identified"),MATCH($B412&amp;$D412,'Smelter Look-up'!$J:$J,0),MATCH($B412&amp;$C412,'Smelter Look-up'!$J:$J,0)))</f>
        <v>8</v>
      </c>
      <c r="X412" s="227">
        <f t="shared" si="57"/>
        <v>0</v>
      </c>
      <c r="AB412" s="228" t="str">
        <f t="shared" si="58"/>
        <v>GoldAdvanced Chemical Company</v>
      </c>
    </row>
    <row r="413" spans="1:28" s="227" customFormat="1" ht="102">
      <c r="A413" s="181" t="s">
        <v>768</v>
      </c>
      <c r="B413" s="182" t="s">
        <v>1101</v>
      </c>
      <c r="C413" s="186" t="s">
        <v>140</v>
      </c>
      <c r="D413" s="230" t="s">
        <v>140</v>
      </c>
      <c r="E413" s="182" t="s">
        <v>2384</v>
      </c>
      <c r="F413" s="182" t="s">
        <v>768</v>
      </c>
      <c r="G413" s="182" t="s">
        <v>13177</v>
      </c>
      <c r="H413" s="183"/>
      <c r="I413" s="184" t="s">
        <v>1779</v>
      </c>
      <c r="J413" s="184" t="s">
        <v>1780</v>
      </c>
      <c r="K413" s="224" t="s">
        <v>16905</v>
      </c>
      <c r="L413" s="224" t="s">
        <v>16906</v>
      </c>
      <c r="M413" s="224" t="s">
        <v>15886</v>
      </c>
      <c r="N413" s="224" t="s">
        <v>15827</v>
      </c>
      <c r="O413" s="224" t="s">
        <v>16907</v>
      </c>
      <c r="P413" s="185" t="s">
        <v>12407</v>
      </c>
      <c r="Q413" s="225" t="s">
        <v>15961</v>
      </c>
      <c r="R413" s="182" t="str">
        <f ca="1">IF(ISERROR($V413),"",OFFSET('Smelter Look-up'!$C$4,$V413-4,0)&amp;"")</f>
        <v>Kennametal Huntsville</v>
      </c>
      <c r="S413" s="181" t="str">
        <f t="shared" ca="1" si="56"/>
        <v>US</v>
      </c>
      <c r="T413" s="181" t="str">
        <f ca="1">IF(B413="","",IF(ISERROR(MATCH($J413,SorP!$B$1:$B$6226,0)),"",INDIRECT("'SorP'!$A$"&amp;MATCH($S413&amp;$J413,SorP!C:C,0))))</f>
        <v>US-AL</v>
      </c>
      <c r="U413" s="201"/>
      <c r="V413" s="226">
        <f>IF(C413="",NA(),IF(OR(C413="Smelter not listed",C413="Smelter not yet identified"),MATCH($B413&amp;$D413,'Smelter Look-up'!$J:$J,0),MATCH($B413&amp;$C413,'Smelter Look-up'!$J:$J,0)))</f>
        <v>604</v>
      </c>
      <c r="X413" s="227">
        <f t="shared" si="57"/>
        <v>0</v>
      </c>
      <c r="AB413" s="228" t="str">
        <f t="shared" si="58"/>
        <v>TungstenKennametal Huntsville</v>
      </c>
    </row>
    <row r="414" spans="1:28" s="227" customFormat="1" ht="25.5">
      <c r="A414" s="181" t="s">
        <v>744</v>
      </c>
      <c r="B414" s="182" t="s">
        <v>1099</v>
      </c>
      <c r="C414" s="186" t="s">
        <v>15688</v>
      </c>
      <c r="D414" s="230" t="s">
        <v>15688</v>
      </c>
      <c r="E414" s="182" t="s">
        <v>2384</v>
      </c>
      <c r="F414" s="182" t="s">
        <v>744</v>
      </c>
      <c r="G414" s="182" t="s">
        <v>13177</v>
      </c>
      <c r="H414" s="183" t="s">
        <v>16908</v>
      </c>
      <c r="I414" s="184" t="s">
        <v>1719</v>
      </c>
      <c r="J414" s="184" t="s">
        <v>1699</v>
      </c>
      <c r="K414" s="224" t="s">
        <v>16909</v>
      </c>
      <c r="L414" s="224" t="s">
        <v>16910</v>
      </c>
      <c r="M414" s="224" t="s">
        <v>15826</v>
      </c>
      <c r="N414" s="224" t="s">
        <v>15827</v>
      </c>
      <c r="O414" s="224" t="s">
        <v>16790</v>
      </c>
      <c r="P414" s="185" t="s">
        <v>12407</v>
      </c>
      <c r="Q414" s="225" t="s">
        <v>16911</v>
      </c>
      <c r="R414" s="182" t="str">
        <f ca="1">IF(ISERROR($V414),"",OFFSET('Smelter Look-up'!$C$4,$V414-4,0)&amp;"")</f>
        <v>Alpha Assembly Solutions Inc</v>
      </c>
      <c r="S414" s="181" t="str">
        <f t="shared" ca="1" si="56"/>
        <v>US</v>
      </c>
      <c r="T414" s="181" t="str">
        <f ca="1">IF(B414="","",IF(ISERROR(MATCH($J414,SorP!$B$1:$B$6226,0)),"",INDIRECT("'SorP'!$A$"&amp;MATCH($S414&amp;$J414,SorP!C:C,0))))</f>
        <v>US-PA</v>
      </c>
      <c r="U414" s="201"/>
      <c r="V414" s="226">
        <f>IF(C414="",NA(),IF(OR(C414="Smelter not listed",C414="Smelter not yet identified"),MATCH($B414&amp;$D414,'Smelter Look-up'!$J:$J,0),MATCH($B414&amp;$C414,'Smelter Look-up'!$J:$J,0)))</f>
        <v>399</v>
      </c>
      <c r="X414" s="227">
        <f t="shared" si="57"/>
        <v>0</v>
      </c>
      <c r="AB414" s="228" t="str">
        <f t="shared" si="58"/>
        <v>TinAlpha Assembly Solutions Inc</v>
      </c>
    </row>
    <row r="415" spans="1:28" s="227" customFormat="1" ht="38.25">
      <c r="A415" s="181" t="s">
        <v>771</v>
      </c>
      <c r="B415" s="182" t="s">
        <v>1101</v>
      </c>
      <c r="C415" s="186" t="s">
        <v>15647</v>
      </c>
      <c r="D415" s="230" t="s">
        <v>15647</v>
      </c>
      <c r="E415" s="182" t="s">
        <v>2384</v>
      </c>
      <c r="F415" s="182" t="s">
        <v>771</v>
      </c>
      <c r="G415" s="182" t="s">
        <v>13177</v>
      </c>
      <c r="H415" s="183"/>
      <c r="I415" s="184" t="s">
        <v>1783</v>
      </c>
      <c r="J415" s="184" t="s">
        <v>1699</v>
      </c>
      <c r="K415" s="224" t="s">
        <v>16912</v>
      </c>
      <c r="L415" s="224" t="s">
        <v>16913</v>
      </c>
      <c r="M415" s="224" t="s">
        <v>15826</v>
      </c>
      <c r="N415" s="224" t="s">
        <v>15827</v>
      </c>
      <c r="O415" s="224" t="s">
        <v>2384</v>
      </c>
      <c r="P415" s="185" t="s">
        <v>12407</v>
      </c>
      <c r="Q415" s="225" t="s">
        <v>16914</v>
      </c>
      <c r="R415" s="182" t="str">
        <f ca="1">IF(ISERROR($V415),"",OFFSET('Smelter Look-up'!$C$4,$V415-4,0)&amp;"")</f>
        <v>Global Tungsten &amp; Powders LLC</v>
      </c>
      <c r="S415" s="181" t="str">
        <f t="shared" ca="1" si="56"/>
        <v>US</v>
      </c>
      <c r="T415" s="181" t="str">
        <f ca="1">IF(B415="","",IF(ISERROR(MATCH($J415,SorP!$B$1:$B$6226,0)),"",INDIRECT("'SorP'!$A$"&amp;MATCH($S415&amp;$J415,SorP!C:C,0))))</f>
        <v>US-PA</v>
      </c>
      <c r="U415" s="201"/>
      <c r="V415" s="226">
        <f>IF(C415="",NA(),IF(OR(C415="Smelter not listed",C415="Smelter not yet identified"),MATCH($B415&amp;$D415,'Smelter Look-up'!$J:$J,0),MATCH($B415&amp;$C415,'Smelter Look-up'!$J:$J,0)))</f>
        <v>578</v>
      </c>
      <c r="X415" s="227">
        <f t="shared" si="57"/>
        <v>0</v>
      </c>
      <c r="AB415" s="228" t="str">
        <f t="shared" si="58"/>
        <v>TungstenGlobal Tungsten &amp; Powders LLC</v>
      </c>
    </row>
    <row r="416" spans="1:28" s="227" customFormat="1" ht="102">
      <c r="A416" s="181" t="s">
        <v>669</v>
      </c>
      <c r="B416" s="182" t="s">
        <v>1098</v>
      </c>
      <c r="C416" s="186" t="s">
        <v>2153</v>
      </c>
      <c r="D416" s="230" t="s">
        <v>2153</v>
      </c>
      <c r="E416" s="182" t="s">
        <v>2384</v>
      </c>
      <c r="F416" s="182" t="s">
        <v>669</v>
      </c>
      <c r="G416" s="182" t="s">
        <v>13177</v>
      </c>
      <c r="H416" s="183" t="s">
        <v>16915</v>
      </c>
      <c r="I416" s="184" t="s">
        <v>1565</v>
      </c>
      <c r="J416" s="184" t="s">
        <v>1566</v>
      </c>
      <c r="K416" s="224" t="s">
        <v>15934</v>
      </c>
      <c r="L416" s="224" t="s">
        <v>15935</v>
      </c>
      <c r="M416" s="224" t="s">
        <v>15869</v>
      </c>
      <c r="N416" s="224" t="s">
        <v>15827</v>
      </c>
      <c r="O416" s="224" t="s">
        <v>16916</v>
      </c>
      <c r="P416" s="185" t="s">
        <v>12407</v>
      </c>
      <c r="Q416" s="225" t="s">
        <v>15829</v>
      </c>
      <c r="R416" s="182" t="str">
        <f ca="1">IF(ISERROR($V416),"",OFFSET('Smelter Look-up'!$C$4,$V416-4,0)&amp;"")</f>
        <v>Asahi Refining USA Inc.</v>
      </c>
      <c r="S416" s="181" t="str">
        <f t="shared" ca="1" si="56"/>
        <v>US</v>
      </c>
      <c r="T416" s="181" t="str">
        <f ca="1">IF(B416="","",IF(ISERROR(MATCH($J416,SorP!$B$1:$B$6226,0)),"",INDIRECT("'SorP'!$A$"&amp;MATCH($S416&amp;$J416,SorP!C:C,0))))</f>
        <v>US-UT</v>
      </c>
      <c r="U416" s="201"/>
      <c r="V416" s="226">
        <f>IF(C416="",NA(),IF(OR(C416="Smelter not listed",C416="Smelter not yet identified"),MATCH($B416&amp;$D416,'Smelter Look-up'!$J:$J,0),MATCH($B416&amp;$C416,'Smelter Look-up'!$J:$J,0)))</f>
        <v>32</v>
      </c>
      <c r="X416" s="227">
        <f t="shared" si="57"/>
        <v>0</v>
      </c>
      <c r="AB416" s="228" t="str">
        <f t="shared" si="58"/>
        <v>GoldAsahi Refining USA Inc.</v>
      </c>
    </row>
    <row r="417" spans="1:28" s="227" customFormat="1" ht="63.75">
      <c r="A417" s="181" t="s">
        <v>774</v>
      </c>
      <c r="B417" s="182" t="s">
        <v>1101</v>
      </c>
      <c r="C417" s="186" t="s">
        <v>141</v>
      </c>
      <c r="D417" s="230" t="s">
        <v>141</v>
      </c>
      <c r="E417" s="182" t="s">
        <v>2384</v>
      </c>
      <c r="F417" s="182" t="s">
        <v>774</v>
      </c>
      <c r="G417" s="182" t="s">
        <v>13177</v>
      </c>
      <c r="H417" s="183"/>
      <c r="I417" s="184" t="s">
        <v>1784</v>
      </c>
      <c r="J417" s="184" t="s">
        <v>1715</v>
      </c>
      <c r="K417" s="224" t="s">
        <v>16905</v>
      </c>
      <c r="L417" s="224" t="s">
        <v>16906</v>
      </c>
      <c r="M417" s="224" t="s">
        <v>16006</v>
      </c>
      <c r="N417" s="224" t="s">
        <v>15827</v>
      </c>
      <c r="O417" s="224" t="s">
        <v>16917</v>
      </c>
      <c r="P417" s="185" t="s">
        <v>12407</v>
      </c>
      <c r="Q417" s="225" t="s">
        <v>15829</v>
      </c>
      <c r="R417" s="182" t="str">
        <f ca="1">IF(ISERROR($V417),"",OFFSET('Smelter Look-up'!$C$4,$V417-4,0)&amp;"")</f>
        <v>Kennametal Fallon</v>
      </c>
      <c r="S417" s="181" t="str">
        <f t="shared" ca="1" si="56"/>
        <v>US</v>
      </c>
      <c r="T417" s="181" t="str">
        <f ca="1">IF(B417="","",IF(ISERROR(MATCH($J417,SorP!$B$1:$B$6226,0)),"",INDIRECT("'SorP'!$A$"&amp;MATCH($S417&amp;$J417,SorP!C:C,0))))</f>
        <v>US-NV</v>
      </c>
      <c r="U417" s="201"/>
      <c r="V417" s="226">
        <f>IF(C417="",NA(),IF(OR(C417="Smelter not listed",C417="Smelter not yet identified"),MATCH($B417&amp;$D417,'Smelter Look-up'!$J:$J,0),MATCH($B417&amp;$C417,'Smelter Look-up'!$J:$J,0)))</f>
        <v>603</v>
      </c>
      <c r="X417" s="227">
        <f t="shared" si="57"/>
        <v>0</v>
      </c>
      <c r="AB417" s="228" t="str">
        <f t="shared" si="58"/>
        <v>TungstenKennametal Fallon</v>
      </c>
    </row>
    <row r="418" spans="1:28" s="227" customFormat="1" ht="25.5">
      <c r="A418" s="181" t="s">
        <v>676</v>
      </c>
      <c r="B418" s="182" t="s">
        <v>1098</v>
      </c>
      <c r="C418" s="186" t="s">
        <v>675</v>
      </c>
      <c r="D418" s="230" t="s">
        <v>675</v>
      </c>
      <c r="E418" s="182" t="s">
        <v>2384</v>
      </c>
      <c r="F418" s="182" t="s">
        <v>676</v>
      </c>
      <c r="G418" s="182" t="s">
        <v>13177</v>
      </c>
      <c r="H418" s="183" t="s">
        <v>16918</v>
      </c>
      <c r="I418" s="184" t="s">
        <v>1573</v>
      </c>
      <c r="J418" s="184" t="s">
        <v>1566</v>
      </c>
      <c r="K418" s="224" t="s">
        <v>16919</v>
      </c>
      <c r="L418" s="224" t="s">
        <v>16920</v>
      </c>
      <c r="M418" s="224" t="s">
        <v>15826</v>
      </c>
      <c r="N418" s="224" t="s">
        <v>15827</v>
      </c>
      <c r="O418" s="224" t="s">
        <v>2384</v>
      </c>
      <c r="P418" s="185" t="s">
        <v>12407</v>
      </c>
      <c r="Q418" s="225" t="s">
        <v>15829</v>
      </c>
      <c r="R418" s="182" t="str">
        <f ca="1">IF(ISERROR($V418),"",OFFSET('Smelter Look-up'!$C$4,$V418-4,0)&amp;"")</f>
        <v>Kennecott Utah Copper LLC</v>
      </c>
      <c r="S418" s="181" t="str">
        <f t="shared" ca="1" si="56"/>
        <v>US</v>
      </c>
      <c r="T418" s="181" t="str">
        <f ca="1">IF(B418="","",IF(ISERROR(MATCH($J418,SorP!$B$1:$B$6226,0)),"",INDIRECT("'SorP'!$A$"&amp;MATCH($S418&amp;$J418,SorP!C:C,0))))</f>
        <v>US-UT</v>
      </c>
      <c r="U418" s="201"/>
      <c r="V418" s="226">
        <f>IF(C418="",NA(),IF(OR(C418="Smelter not listed",C418="Smelter not yet identified"),MATCH($B418&amp;$D418,'Smelter Look-up'!$J:$J,0),MATCH($B418&amp;$C418,'Smelter Look-up'!$J:$J,0)))</f>
        <v>142</v>
      </c>
      <c r="X418" s="227">
        <f t="shared" si="57"/>
        <v>0</v>
      </c>
      <c r="AB418" s="228" t="str">
        <f t="shared" si="58"/>
        <v>GoldKennecott Utah Copper LLC</v>
      </c>
    </row>
    <row r="419" spans="1:28" s="227" customFormat="1" ht="178.5">
      <c r="A419" s="181" t="s">
        <v>684</v>
      </c>
      <c r="B419" s="182" t="s">
        <v>1098</v>
      </c>
      <c r="C419" s="186" t="s">
        <v>881</v>
      </c>
      <c r="D419" s="230" t="s">
        <v>881</v>
      </c>
      <c r="E419" s="182" t="s">
        <v>2384</v>
      </c>
      <c r="F419" s="182" t="s">
        <v>684</v>
      </c>
      <c r="G419" s="182" t="s">
        <v>13177</v>
      </c>
      <c r="H419" s="183" t="s">
        <v>16921</v>
      </c>
      <c r="I419" s="184" t="s">
        <v>1582</v>
      </c>
      <c r="J419" s="184" t="s">
        <v>1583</v>
      </c>
      <c r="K419" s="224" t="s">
        <v>16922</v>
      </c>
      <c r="L419" s="224" t="s">
        <v>16923</v>
      </c>
      <c r="M419" s="224" t="s">
        <v>15826</v>
      </c>
      <c r="N419" s="224" t="s">
        <v>15827</v>
      </c>
      <c r="O419" s="224" t="s">
        <v>16924</v>
      </c>
      <c r="P419" s="185" t="s">
        <v>12407</v>
      </c>
      <c r="Q419" s="225" t="s">
        <v>15829</v>
      </c>
      <c r="R419" s="182" t="str">
        <f ca="1">IF(ISERROR($V419),"",OFFSET('Smelter Look-up'!$C$4,$V419-4,0)&amp;"")</f>
        <v>Materion</v>
      </c>
      <c r="S419" s="181" t="str">
        <f t="shared" ca="1" si="56"/>
        <v>US</v>
      </c>
      <c r="T419" s="181" t="str">
        <f ca="1">IF(B419="","",IF(ISERROR(MATCH($J419,SorP!$B$1:$B$6226,0)),"",INDIRECT("'SorP'!$A$"&amp;MATCH($S419&amp;$J419,SorP!C:C,0))))</f>
        <v>US-NY</v>
      </c>
      <c r="U419" s="201"/>
      <c r="V419" s="226">
        <f>IF(C419="",NA(),IF(OR(C419="Smelter not listed",C419="Smelter not yet identified"),MATCH($B419&amp;$D419,'Smelter Look-up'!$J:$J,0),MATCH($B419&amp;$C419,'Smelter Look-up'!$J:$J,0)))</f>
        <v>169</v>
      </c>
      <c r="X419" s="227">
        <f t="shared" si="57"/>
        <v>0</v>
      </c>
      <c r="AB419" s="228" t="str">
        <f t="shared" si="58"/>
        <v>GoldMaterion</v>
      </c>
    </row>
    <row r="420" spans="1:28" s="227" customFormat="1" ht="76.5">
      <c r="A420" s="181" t="s">
        <v>1740</v>
      </c>
      <c r="B420" s="182" t="s">
        <v>1099</v>
      </c>
      <c r="C420" s="186" t="s">
        <v>2104</v>
      </c>
      <c r="D420" s="230" t="s">
        <v>2104</v>
      </c>
      <c r="E420" s="182" t="s">
        <v>2384</v>
      </c>
      <c r="F420" s="182" t="s">
        <v>1740</v>
      </c>
      <c r="G420" s="182" t="s">
        <v>13177</v>
      </c>
      <c r="H420" s="183" t="s">
        <v>16925</v>
      </c>
      <c r="I420" s="184" t="s">
        <v>1741</v>
      </c>
      <c r="J420" s="184" t="s">
        <v>1601</v>
      </c>
      <c r="K420" s="224" t="s">
        <v>16926</v>
      </c>
      <c r="L420" s="224" t="s">
        <v>16927</v>
      </c>
      <c r="M420" s="224" t="s">
        <v>15826</v>
      </c>
      <c r="N420" s="224" t="s">
        <v>15827</v>
      </c>
      <c r="O420" s="224" t="s">
        <v>16928</v>
      </c>
      <c r="P420" s="185" t="s">
        <v>12407</v>
      </c>
      <c r="Q420" s="225" t="s">
        <v>15829</v>
      </c>
      <c r="R420" s="182" t="str">
        <f ca="1">IF(ISERROR($V420),"",OFFSET('Smelter Look-up'!$C$4,$V420-4,0)&amp;"")</f>
        <v>Metallic Resources, Inc.</v>
      </c>
      <c r="S420" s="181" t="str">
        <f t="shared" ca="1" si="56"/>
        <v>US</v>
      </c>
      <c r="T420" s="181" t="str">
        <f ca="1">IF(B420="","",IF(ISERROR(MATCH($J420,SorP!$B$1:$B$6226,0)),"",INDIRECT("'SorP'!$A$"&amp;MATCH($S420&amp;$J420,SorP!C:C,0))))</f>
        <v>US-OH</v>
      </c>
      <c r="U420" s="201"/>
      <c r="V420" s="226">
        <f>IF(C420="",NA(),IF(OR(C420="Smelter not listed",C420="Smelter not yet identified"),MATCH($B420&amp;$D420,'Smelter Look-up'!$J:$J,0),MATCH($B420&amp;$C420,'Smelter Look-up'!$J:$J,0)))</f>
        <v>473</v>
      </c>
      <c r="X420" s="227">
        <f t="shared" si="57"/>
        <v>0</v>
      </c>
      <c r="AB420" s="228" t="str">
        <f t="shared" si="58"/>
        <v>TinMetallic Resources, Inc.</v>
      </c>
    </row>
    <row r="421" spans="1:28" s="227" customFormat="1" ht="25.5">
      <c r="A421" s="181" t="s">
        <v>689</v>
      </c>
      <c r="B421" s="182" t="s">
        <v>1098</v>
      </c>
      <c r="C421" s="186" t="s">
        <v>1195</v>
      </c>
      <c r="D421" s="230" t="s">
        <v>1195</v>
      </c>
      <c r="E421" s="182" t="s">
        <v>2384</v>
      </c>
      <c r="F421" s="182" t="s">
        <v>689</v>
      </c>
      <c r="G421" s="182" t="s">
        <v>13177</v>
      </c>
      <c r="H421" s="183" t="s">
        <v>16929</v>
      </c>
      <c r="I421" s="184" t="s">
        <v>1590</v>
      </c>
      <c r="J421" s="184" t="s">
        <v>1591</v>
      </c>
      <c r="K421" s="224" t="s">
        <v>16009</v>
      </c>
      <c r="L421" s="224" t="s">
        <v>16010</v>
      </c>
      <c r="M421" s="224" t="s">
        <v>15826</v>
      </c>
      <c r="N421" s="224" t="s">
        <v>15827</v>
      </c>
      <c r="O421" s="224" t="s">
        <v>2384</v>
      </c>
      <c r="P421" s="185" t="s">
        <v>12407</v>
      </c>
      <c r="Q421" s="225" t="s">
        <v>15829</v>
      </c>
      <c r="R421" s="182" t="str">
        <f ca="1">IF(ISERROR($V421),"",OFFSET('Smelter Look-up'!$C$4,$V421-4,0)&amp;"")</f>
        <v>Metalor USA Refining Corporation</v>
      </c>
      <c r="S421" s="181" t="str">
        <f t="shared" ca="1" si="56"/>
        <v>US</v>
      </c>
      <c r="T421" s="181" t="str">
        <f ca="1">IF(B421="","",IF(ISERROR(MATCH($J421,SorP!$B$1:$B$6226,0)),"",INDIRECT("'SorP'!$A$"&amp;MATCH($S421&amp;$J421,SorP!C:C,0))))</f>
        <v>US-MA</v>
      </c>
      <c r="U421" s="201"/>
      <c r="V421" s="226">
        <f>IF(C421="",NA(),IF(OR(C421="Smelter not listed",C421="Smelter not yet identified"),MATCH($B421&amp;$D421,'Smelter Look-up'!$J:$J,0),MATCH($B421&amp;$C421,'Smelter Look-up'!$J:$J,0)))</f>
        <v>182</v>
      </c>
      <c r="X421" s="227">
        <f t="shared" si="57"/>
        <v>0</v>
      </c>
      <c r="AB421" s="228" t="str">
        <f t="shared" si="58"/>
        <v>GoldMetalor USA Refining Corporation</v>
      </c>
    </row>
    <row r="422" spans="1:28" s="227" customFormat="1" ht="127.5">
      <c r="A422" s="181" t="s">
        <v>742</v>
      </c>
      <c r="B422" s="182" t="s">
        <v>1100</v>
      </c>
      <c r="C422" s="186" t="s">
        <v>1697</v>
      </c>
      <c r="D422" s="230" t="s">
        <v>1697</v>
      </c>
      <c r="E422" s="182" t="s">
        <v>2384</v>
      </c>
      <c r="F422" s="182" t="s">
        <v>742</v>
      </c>
      <c r="G422" s="182" t="s">
        <v>13177</v>
      </c>
      <c r="H422" s="183" t="s">
        <v>16930</v>
      </c>
      <c r="I422" s="184" t="s">
        <v>1698</v>
      </c>
      <c r="J422" s="184" t="s">
        <v>1699</v>
      </c>
      <c r="K422" s="224" t="s">
        <v>16931</v>
      </c>
      <c r="L422" s="224" t="s">
        <v>16932</v>
      </c>
      <c r="M422" s="224" t="s">
        <v>15886</v>
      </c>
      <c r="N422" s="224" t="s">
        <v>15917</v>
      </c>
      <c r="O422" s="224" t="s">
        <v>16933</v>
      </c>
      <c r="P422" s="185" t="s">
        <v>12407</v>
      </c>
      <c r="Q422" s="225" t="s">
        <v>15829</v>
      </c>
      <c r="R422" s="182" t="str">
        <f ca="1">IF(ISERROR($V422),"",OFFSET('Smelter Look-up'!$C$4,$V422-4,0)&amp;"")</f>
        <v>Telex Metals</v>
      </c>
      <c r="S422" s="181" t="str">
        <f t="shared" ref="S422:S452" ca="1" si="59">IF(B422="","",IF(ISERROR(MATCH($E422,CL,0)),"Unknown",INDIRECT("'C'!$A$"&amp;MATCH($E422,CL,0)+1)))</f>
        <v>US</v>
      </c>
      <c r="T422" s="181" t="str">
        <f ca="1">IF(B422="","",IF(ISERROR(MATCH($J422,SorP!$B$1:$B$6226,0)),"",INDIRECT("'SorP'!$A$"&amp;MATCH($S422&amp;$J422,SorP!C:C,0))))</f>
        <v>US-PA</v>
      </c>
      <c r="U422" s="201"/>
      <c r="V422" s="226">
        <f>IF(C422="",NA(),IF(OR(C422="Smelter not listed",C422="Smelter not yet identified"),MATCH($B422&amp;$D422,'Smelter Look-up'!$J:$J,0),MATCH($B422&amp;$C422,'Smelter Look-up'!$J:$J,0)))</f>
        <v>388</v>
      </c>
      <c r="X422" s="227">
        <f t="shared" ref="X422:X452" si="60">IF(AND(C422="Smelter not listed",OR(LEN(D422)=0,LEN(E422)=0)),1,0)</f>
        <v>0</v>
      </c>
      <c r="AB422" s="228" t="str">
        <f t="shared" ref="AB422:AB452" si="61">B422&amp;C422</f>
        <v>TantalumTelex Metals</v>
      </c>
    </row>
    <row r="423" spans="1:28" s="227" customFormat="1" ht="63.75">
      <c r="A423" s="181" t="s">
        <v>720</v>
      </c>
      <c r="B423" s="182" t="s">
        <v>1098</v>
      </c>
      <c r="C423" s="186" t="s">
        <v>792</v>
      </c>
      <c r="D423" s="230" t="s">
        <v>792</v>
      </c>
      <c r="E423" s="182" t="s">
        <v>2384</v>
      </c>
      <c r="F423" s="182" t="s">
        <v>720</v>
      </c>
      <c r="G423" s="182" t="s">
        <v>13177</v>
      </c>
      <c r="H423" s="183" t="s">
        <v>16934</v>
      </c>
      <c r="I423" s="184" t="s">
        <v>1643</v>
      </c>
      <c r="J423" s="184" t="s">
        <v>1583</v>
      </c>
      <c r="K423" s="224" t="s">
        <v>16935</v>
      </c>
      <c r="L423" s="224" t="s">
        <v>16936</v>
      </c>
      <c r="M423" s="224" t="s">
        <v>15826</v>
      </c>
      <c r="N423" s="224" t="s">
        <v>15827</v>
      </c>
      <c r="O423" s="224" t="s">
        <v>16937</v>
      </c>
      <c r="P423" s="185" t="s">
        <v>12407</v>
      </c>
      <c r="Q423" s="225" t="s">
        <v>15829</v>
      </c>
      <c r="R423" s="182" t="str">
        <f ca="1">IF(ISERROR($V423),"",OFFSET('Smelter Look-up'!$C$4,$V423-4,0)&amp;"")</f>
        <v>United Precious Metal Refining, Inc.</v>
      </c>
      <c r="S423" s="181" t="str">
        <f t="shared" ca="1" si="59"/>
        <v>US</v>
      </c>
      <c r="T423" s="181" t="str">
        <f ca="1">IF(B423="","",IF(ISERROR(MATCH($J423,SorP!$B$1:$B$6226,0)),"",INDIRECT("'SorP'!$A$"&amp;MATCH($S423&amp;$J423,SorP!C:C,0))))</f>
        <v>US-NY</v>
      </c>
      <c r="U423" s="201"/>
      <c r="V423" s="226">
        <f>IF(C423="",NA(),IF(OR(C423="Smelter not listed",C423="Smelter not yet identified"),MATCH($B423&amp;$D423,'Smelter Look-up'!$J:$J,0),MATCH($B423&amp;$C423,'Smelter Look-up'!$J:$J,0)))</f>
        <v>303</v>
      </c>
      <c r="X423" s="227">
        <f t="shared" si="60"/>
        <v>0</v>
      </c>
      <c r="AB423" s="228" t="str">
        <f t="shared" si="61"/>
        <v>GoldUnited Precious Metal Refining, Inc.</v>
      </c>
    </row>
    <row r="424" spans="1:28" s="227" customFormat="1" ht="127.5">
      <c r="A424" s="181" t="s">
        <v>1361</v>
      </c>
      <c r="B424" s="182" t="s">
        <v>1100</v>
      </c>
      <c r="C424" s="186" t="s">
        <v>1360</v>
      </c>
      <c r="D424" s="230" t="s">
        <v>1360</v>
      </c>
      <c r="E424" s="182" t="s">
        <v>2384</v>
      </c>
      <c r="F424" s="182" t="s">
        <v>1361</v>
      </c>
      <c r="G424" s="182" t="s">
        <v>13177</v>
      </c>
      <c r="H424" s="183" t="s">
        <v>16938</v>
      </c>
      <c r="I424" s="184" t="s">
        <v>15620</v>
      </c>
      <c r="J424" s="184" t="s">
        <v>1703</v>
      </c>
      <c r="K424" s="224" t="s">
        <v>16939</v>
      </c>
      <c r="L424" s="224" t="s">
        <v>16940</v>
      </c>
      <c r="M424" s="224" t="s">
        <v>15833</v>
      </c>
      <c r="N424" s="224" t="s">
        <v>15827</v>
      </c>
      <c r="O424" s="224" t="s">
        <v>16941</v>
      </c>
      <c r="P424" s="185" t="s">
        <v>15949</v>
      </c>
      <c r="Q424" s="225" t="s">
        <v>15829</v>
      </c>
      <c r="R424" s="182" t="str">
        <f ca="1">IF(ISERROR($V424),"",OFFSET('Smelter Look-up'!$C$4,$V424-4,0)&amp;"")</f>
        <v>D Block Metals, LLC</v>
      </c>
      <c r="S424" s="181" t="str">
        <f t="shared" ca="1" si="59"/>
        <v>US</v>
      </c>
      <c r="T424" s="181" t="str">
        <f ca="1">IF(B424="","",IF(ISERROR(MATCH($J424,SorP!$B$1:$B$6226,0)),"",INDIRECT("'SorP'!$A$"&amp;MATCH($S424&amp;$J424,SorP!C:C,0))))</f>
        <v>US-NC</v>
      </c>
      <c r="U424" s="201"/>
      <c r="V424" s="226">
        <f>IF(C424="",NA(),IF(OR(C424="Smelter not listed",C424="Smelter not yet identified"),MATCH($B424&amp;$D424,'Smelter Look-up'!$J:$J,0),MATCH($B424&amp;$C424,'Smelter Look-up'!$J:$J,0)))</f>
        <v>335</v>
      </c>
      <c r="X424" s="227">
        <f t="shared" si="60"/>
        <v>0</v>
      </c>
      <c r="AB424" s="228" t="str">
        <f t="shared" si="61"/>
        <v>TantalumD Block Metals, LLC</v>
      </c>
    </row>
    <row r="425" spans="1:28" s="227" customFormat="1" ht="63.75">
      <c r="A425" s="181" t="s">
        <v>1383</v>
      </c>
      <c r="B425" s="182" t="s">
        <v>1100</v>
      </c>
      <c r="C425" s="186" t="s">
        <v>15338</v>
      </c>
      <c r="D425" s="230" t="s">
        <v>15338</v>
      </c>
      <c r="E425" s="182" t="s">
        <v>2384</v>
      </c>
      <c r="F425" s="182" t="s">
        <v>1383</v>
      </c>
      <c r="G425" s="182" t="s">
        <v>13177</v>
      </c>
      <c r="H425" s="183" t="s">
        <v>16942</v>
      </c>
      <c r="I425" s="184" t="s">
        <v>1711</v>
      </c>
      <c r="J425" s="184" t="s">
        <v>1591</v>
      </c>
      <c r="K425" s="224" t="s">
        <v>16943</v>
      </c>
      <c r="L425" s="224" t="s">
        <v>16944</v>
      </c>
      <c r="M425" s="224" t="s">
        <v>15886</v>
      </c>
      <c r="N425" s="224" t="s">
        <v>15827</v>
      </c>
      <c r="O425" s="224" t="s">
        <v>16945</v>
      </c>
      <c r="P425" s="185" t="s">
        <v>12407</v>
      </c>
      <c r="Q425" s="225" t="s">
        <v>15829</v>
      </c>
      <c r="R425" s="182" t="str">
        <f ca="1">IF(ISERROR($V425),"",OFFSET('Smelter Look-up'!$C$4,$V425-4,0)&amp;"")</f>
        <v>Materion Newton Inc.</v>
      </c>
      <c r="S425" s="181" t="str">
        <f t="shared" ca="1" si="59"/>
        <v>US</v>
      </c>
      <c r="T425" s="181" t="str">
        <f ca="1">IF(B425="","",IF(ISERROR(MATCH($J425,SorP!$B$1:$B$6226,0)),"",INDIRECT("'SorP'!$A$"&amp;MATCH($S425&amp;$J425,SorP!C:C,0))))</f>
        <v>US-MA</v>
      </c>
      <c r="U425" s="201"/>
      <c r="V425" s="226">
        <f>IF(C425="",NA(),IF(OR(C425="Smelter not listed",C425="Smelter not yet identified"),MATCH($B425&amp;$D425,'Smelter Look-up'!$J:$J,0),MATCH($B425&amp;$C425,'Smelter Look-up'!$J:$J,0)))</f>
        <v>360</v>
      </c>
      <c r="X425" s="227">
        <f t="shared" si="60"/>
        <v>0</v>
      </c>
      <c r="AB425" s="228" t="str">
        <f t="shared" si="61"/>
        <v>TantalumMaterion Newton Inc.</v>
      </c>
    </row>
    <row r="426" spans="1:28" s="227" customFormat="1" ht="140.25">
      <c r="A426" s="181" t="s">
        <v>1378</v>
      </c>
      <c r="B426" s="182" t="s">
        <v>1100</v>
      </c>
      <c r="C426" s="186" t="s">
        <v>1377</v>
      </c>
      <c r="D426" s="230" t="s">
        <v>1377</v>
      </c>
      <c r="E426" s="182" t="s">
        <v>2384</v>
      </c>
      <c r="F426" s="182" t="s">
        <v>1378</v>
      </c>
      <c r="G426" s="182" t="s">
        <v>13177</v>
      </c>
      <c r="H426" s="183" t="s">
        <v>16946</v>
      </c>
      <c r="I426" s="184" t="s">
        <v>1713</v>
      </c>
      <c r="J426" s="184" t="s">
        <v>1699</v>
      </c>
      <c r="K426" s="224" t="s">
        <v>16665</v>
      </c>
      <c r="L426" s="224" t="s">
        <v>16666</v>
      </c>
      <c r="M426" s="224" t="s">
        <v>15833</v>
      </c>
      <c r="N426" s="224" t="s">
        <v>15827</v>
      </c>
      <c r="O426" s="224" t="s">
        <v>16749</v>
      </c>
      <c r="P426" s="185" t="s">
        <v>12407</v>
      </c>
      <c r="Q426" s="225" t="s">
        <v>15829</v>
      </c>
      <c r="R426" s="182" t="str">
        <f ca="1">IF(ISERROR($V426),"",OFFSET('Smelter Look-up'!$C$4,$V426-4,0)&amp;"")</f>
        <v>Global Advanced Metals Boyertown</v>
      </c>
      <c r="S426" s="181" t="str">
        <f t="shared" ca="1" si="59"/>
        <v>US</v>
      </c>
      <c r="T426" s="181" t="str">
        <f ca="1">IF(B426="","",IF(ISERROR(MATCH($J426,SorP!$B$1:$B$6226,0)),"",INDIRECT("'SorP'!$A$"&amp;MATCH($S426&amp;$J426,SorP!C:C,0))))</f>
        <v>US-PA</v>
      </c>
      <c r="U426" s="201"/>
      <c r="V426" s="226">
        <f>IF(C426="",NA(),IF(OR(C426="Smelter not listed",C426="Smelter not yet identified"),MATCH($B426&amp;$D426,'Smelter Look-up'!$J:$J,0),MATCH($B426&amp;$C426,'Smelter Look-up'!$J:$J,0)))</f>
        <v>340</v>
      </c>
      <c r="X426" s="227">
        <f t="shared" si="60"/>
        <v>0</v>
      </c>
      <c r="AB426" s="228" t="str">
        <f t="shared" si="61"/>
        <v>TantalumGlobal Advanced Metals Boyertown</v>
      </c>
    </row>
    <row r="427" spans="1:28" s="227" customFormat="1" ht="114.75">
      <c r="A427" s="181" t="s">
        <v>1796</v>
      </c>
      <c r="B427" s="182" t="s">
        <v>1101</v>
      </c>
      <c r="C427" s="186" t="s">
        <v>1795</v>
      </c>
      <c r="D427" s="230" t="s">
        <v>1795</v>
      </c>
      <c r="E427" s="182" t="s">
        <v>2384</v>
      </c>
      <c r="F427" s="182" t="s">
        <v>1796</v>
      </c>
      <c r="G427" s="182" t="s">
        <v>13177</v>
      </c>
      <c r="H427" s="183" t="s">
        <v>16947</v>
      </c>
      <c r="I427" s="184" t="s">
        <v>1797</v>
      </c>
      <c r="J427" s="184" t="s">
        <v>1583</v>
      </c>
      <c r="K427" s="224" t="s">
        <v>16948</v>
      </c>
      <c r="L427" s="224" t="s">
        <v>16949</v>
      </c>
      <c r="M427" s="224" t="s">
        <v>16006</v>
      </c>
      <c r="N427" s="224" t="s">
        <v>15827</v>
      </c>
      <c r="O427" s="224" t="s">
        <v>16950</v>
      </c>
      <c r="P427" s="185" t="s">
        <v>12407</v>
      </c>
      <c r="Q427" s="225" t="s">
        <v>15829</v>
      </c>
      <c r="R427" s="182" t="str">
        <f ca="1">IF(ISERROR($V427),"",OFFSET('Smelter Look-up'!$C$4,$V427-4,0)&amp;"")</f>
        <v>Niagara Refining LLC</v>
      </c>
      <c r="S427" s="181" t="str">
        <f t="shared" ca="1" si="59"/>
        <v>US</v>
      </c>
      <c r="T427" s="181" t="str">
        <f ca="1">IF(B427="","",IF(ISERROR(MATCH($J427,SorP!$B$1:$B$6226,0)),"",INDIRECT("'SorP'!$A$"&amp;MATCH($S427&amp;$J427,SorP!C:C,0))))</f>
        <v>US-NY</v>
      </c>
      <c r="U427" s="201"/>
      <c r="V427" s="226">
        <f>IF(C427="",NA(),IF(OR(C427="Smelter not listed",C427="Smelter not yet identified"),MATCH($B427&amp;$D427,'Smelter Look-up'!$J:$J,0),MATCH($B427&amp;$C427,'Smelter Look-up'!$J:$J,0)))</f>
        <v>616</v>
      </c>
      <c r="X427" s="227">
        <f t="shared" si="60"/>
        <v>0</v>
      </c>
      <c r="AB427" s="228" t="str">
        <f t="shared" si="61"/>
        <v>TungstenNiagara Refining LLC</v>
      </c>
    </row>
    <row r="428" spans="1:28" s="227" customFormat="1" ht="89.25">
      <c r="A428" s="181" t="s">
        <v>2386</v>
      </c>
      <c r="B428" s="182" t="s">
        <v>1098</v>
      </c>
      <c r="C428" s="186" t="s">
        <v>2385</v>
      </c>
      <c r="D428" s="230" t="s">
        <v>2385</v>
      </c>
      <c r="E428" s="182" t="s">
        <v>2384</v>
      </c>
      <c r="F428" s="182" t="s">
        <v>2386</v>
      </c>
      <c r="G428" s="182" t="s">
        <v>13177</v>
      </c>
      <c r="H428" s="183" t="s">
        <v>16951</v>
      </c>
      <c r="I428" s="184" t="s">
        <v>2387</v>
      </c>
      <c r="J428" s="184" t="s">
        <v>1699</v>
      </c>
      <c r="K428" s="224" t="s">
        <v>16952</v>
      </c>
      <c r="L428" s="224" t="s">
        <v>16953</v>
      </c>
      <c r="M428" s="224" t="s">
        <v>15875</v>
      </c>
      <c r="N428" s="224" t="s">
        <v>15827</v>
      </c>
      <c r="O428" s="224" t="s">
        <v>16954</v>
      </c>
      <c r="P428" s="185" t="s">
        <v>12407</v>
      </c>
      <c r="Q428" s="225" t="s">
        <v>15829</v>
      </c>
      <c r="R428" s="182" t="str">
        <f ca="1">IF(ISERROR($V428),"",OFFSET('Smelter Look-up'!$C$4,$V428-4,0)&amp;"")</f>
        <v>Abington Reldan Metals, LLC</v>
      </c>
      <c r="S428" s="181" t="str">
        <f t="shared" ca="1" si="59"/>
        <v>US</v>
      </c>
      <c r="T428" s="181" t="str">
        <f ca="1">IF(B428="","",IF(ISERROR(MATCH($J428,SorP!$B$1:$B$6226,0)),"",INDIRECT("'SorP'!$A$"&amp;MATCH($S428&amp;$J428,SorP!C:C,0))))</f>
        <v>US-PA</v>
      </c>
      <c r="U428" s="201"/>
      <c r="V428" s="226">
        <f>IF(C428="",NA(),IF(OR(C428="Smelter not listed",C428="Smelter not yet identified"),MATCH($B428&amp;$D428,'Smelter Look-up'!$J:$J,0),MATCH($B428&amp;$C428,'Smelter Look-up'!$J:$J,0)))</f>
        <v>7</v>
      </c>
      <c r="X428" s="227">
        <f t="shared" si="60"/>
        <v>0</v>
      </c>
      <c r="AB428" s="228" t="str">
        <f t="shared" si="61"/>
        <v>GoldAbington Reldan Metals, LLC</v>
      </c>
    </row>
    <row r="429" spans="1:28" s="227" customFormat="1" ht="63.75">
      <c r="A429" s="181" t="s">
        <v>13122</v>
      </c>
      <c r="B429" s="182" t="s">
        <v>1099</v>
      </c>
      <c r="C429" s="186" t="s">
        <v>13121</v>
      </c>
      <c r="D429" s="230" t="s">
        <v>13121</v>
      </c>
      <c r="E429" s="182" t="s">
        <v>2384</v>
      </c>
      <c r="F429" s="182" t="s">
        <v>13122</v>
      </c>
      <c r="G429" s="182" t="s">
        <v>13177</v>
      </c>
      <c r="H429" s="183" t="s">
        <v>16955</v>
      </c>
      <c r="I429" s="184" t="s">
        <v>13123</v>
      </c>
      <c r="J429" s="184" t="s">
        <v>1699</v>
      </c>
      <c r="K429" s="224" t="s">
        <v>16956</v>
      </c>
      <c r="L429" s="224" t="s">
        <v>16957</v>
      </c>
      <c r="M429" s="224" t="s">
        <v>15826</v>
      </c>
      <c r="N429" s="224" t="s">
        <v>15827</v>
      </c>
      <c r="O429" s="224" t="s">
        <v>16958</v>
      </c>
      <c r="P429" s="185" t="s">
        <v>12407</v>
      </c>
      <c r="Q429" s="225" t="s">
        <v>15829</v>
      </c>
      <c r="R429" s="182" t="str">
        <f ca="1">IF(ISERROR($V429),"",OFFSET('Smelter Look-up'!$C$4,$V429-4,0)&amp;"")</f>
        <v>Tin Technology &amp; Refining</v>
      </c>
      <c r="S429" s="181" t="str">
        <f t="shared" ca="1" si="59"/>
        <v>US</v>
      </c>
      <c r="T429" s="181" t="str">
        <f ca="1">IF(B429="","",IF(ISERROR(MATCH($J429,SorP!$B$1:$B$6226,0)),"",INDIRECT("'SorP'!$A$"&amp;MATCH($S429&amp;$J429,SorP!C:C,0))))</f>
        <v>US-PA</v>
      </c>
      <c r="U429" s="201"/>
      <c r="V429" s="226">
        <f>IF(C429="",NA(),IF(OR(C429="Smelter not listed",C429="Smelter not yet identified"),MATCH($B429&amp;$D429,'Smelter Look-up'!$J:$J,0),MATCH($B429&amp;$C429,'Smelter Look-up'!$J:$J,0)))</f>
        <v>525</v>
      </c>
      <c r="X429" s="227">
        <f t="shared" si="60"/>
        <v>0</v>
      </c>
      <c r="AB429" s="228" t="str">
        <f t="shared" si="61"/>
        <v>TinTin Technology &amp; Refining</v>
      </c>
    </row>
    <row r="430" spans="1:28" s="227" customFormat="1" ht="25.5">
      <c r="A430" s="181" t="s">
        <v>16959</v>
      </c>
      <c r="B430" s="182" t="s">
        <v>1100</v>
      </c>
      <c r="C430" s="186" t="s">
        <v>16960</v>
      </c>
      <c r="D430" s="230" t="s">
        <v>16960</v>
      </c>
      <c r="E430" s="182" t="s">
        <v>2384</v>
      </c>
      <c r="F430" s="182" t="s">
        <v>16959</v>
      </c>
      <c r="G430" s="182" t="s">
        <v>13177</v>
      </c>
      <c r="H430" s="183"/>
      <c r="I430" s="184" t="s">
        <v>16961</v>
      </c>
      <c r="J430" s="184" t="s">
        <v>1660</v>
      </c>
      <c r="K430" s="224"/>
      <c r="L430" s="224"/>
      <c r="M430" s="224"/>
      <c r="N430" s="224"/>
      <c r="O430" s="224"/>
      <c r="P430" s="185"/>
      <c r="Q430" s="225"/>
      <c r="R430" s="182" t="str">
        <f ca="1">IF(ISERROR($V430),"",OFFSET('Smelter Look-up'!$C$4,$V430-4,0)&amp;"")</f>
        <v/>
      </c>
      <c r="S430" s="181" t="str">
        <f t="shared" ca="1" si="59"/>
        <v>US</v>
      </c>
      <c r="T430" s="181" t="str">
        <f ca="1">IF(B430="","",IF(ISERROR(MATCH($J430,SorP!$B$1:$B$6226,0)),"",INDIRECT("'SorP'!$A$"&amp;MATCH($S430&amp;$J430,SorP!C:C,0))))</f>
        <v>US-FL</v>
      </c>
      <c r="U430" s="201"/>
      <c r="V430" s="226" t="e">
        <f>IF(C430="",NA(),IF(OR(C430="Smelter not listed",C430="Smelter not yet identified"),MATCH($B430&amp;$D430,'Smelter Look-up'!$J:$J,0),MATCH($B430&amp;$C430,'Smelter Look-up'!$J:$J,0)))</f>
        <v>#N/A</v>
      </c>
      <c r="X430" s="227">
        <f t="shared" si="60"/>
        <v>0</v>
      </c>
      <c r="AB430" s="228" t="str">
        <f t="shared" si="61"/>
        <v>TantalumExotech Inc.</v>
      </c>
    </row>
    <row r="431" spans="1:28" s="227" customFormat="1" ht="25.5">
      <c r="A431" s="181" t="s">
        <v>16962</v>
      </c>
      <c r="B431" s="182" t="s">
        <v>1100</v>
      </c>
      <c r="C431" s="186" t="s">
        <v>881</v>
      </c>
      <c r="D431" s="230" t="s">
        <v>881</v>
      </c>
      <c r="E431" s="182" t="s">
        <v>2384</v>
      </c>
      <c r="F431" s="182" t="s">
        <v>16962</v>
      </c>
      <c r="G431" s="182" t="s">
        <v>13177</v>
      </c>
      <c r="H431" s="183" t="s">
        <v>15840</v>
      </c>
      <c r="I431" s="184" t="s">
        <v>15840</v>
      </c>
      <c r="J431" s="184" t="s">
        <v>15840</v>
      </c>
      <c r="K431" s="224"/>
      <c r="L431" s="224"/>
      <c r="M431" s="224"/>
      <c r="N431" s="224"/>
      <c r="O431" s="224"/>
      <c r="P431" s="185"/>
      <c r="Q431" s="225"/>
      <c r="R431" s="182" t="str">
        <f ca="1">IF(ISERROR($V431),"",OFFSET('Smelter Look-up'!$C$4,$V431-4,0)&amp;"")</f>
        <v/>
      </c>
      <c r="S431" s="181" t="str">
        <f t="shared" ca="1" si="59"/>
        <v>US</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si="60"/>
        <v>0</v>
      </c>
      <c r="AB431" s="228" t="str">
        <f t="shared" si="61"/>
        <v>TantalumMaterion</v>
      </c>
    </row>
    <row r="432" spans="1:28" s="227" customFormat="1" ht="25.5">
      <c r="A432" s="181" t="s">
        <v>16963</v>
      </c>
      <c r="B432" s="182" t="s">
        <v>1101</v>
      </c>
      <c r="C432" s="186" t="s">
        <v>881</v>
      </c>
      <c r="D432" s="230" t="s">
        <v>881</v>
      </c>
      <c r="E432" s="182" t="s">
        <v>2384</v>
      </c>
      <c r="F432" s="182" t="s">
        <v>16963</v>
      </c>
      <c r="G432" s="182" t="s">
        <v>13177</v>
      </c>
      <c r="H432" s="183" t="s">
        <v>15840</v>
      </c>
      <c r="I432" s="184" t="s">
        <v>15840</v>
      </c>
      <c r="J432" s="184" t="s">
        <v>15840</v>
      </c>
      <c r="K432" s="224"/>
      <c r="L432" s="224"/>
      <c r="M432" s="224"/>
      <c r="N432" s="224"/>
      <c r="O432" s="224"/>
      <c r="P432" s="185"/>
      <c r="Q432" s="225"/>
      <c r="R432" s="182" t="str">
        <f ca="1">IF(ISERROR($V432),"",OFFSET('Smelter Look-up'!$C$4,$V432-4,0)&amp;"")</f>
        <v/>
      </c>
      <c r="S432" s="181" t="str">
        <f t="shared" ca="1" si="59"/>
        <v>US</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si="60"/>
        <v>0</v>
      </c>
      <c r="AB432" s="228" t="str">
        <f t="shared" si="61"/>
        <v>TungstenMaterion</v>
      </c>
    </row>
    <row r="433" spans="1:28" s="227" customFormat="1" ht="25.5">
      <c r="A433" s="181" t="s">
        <v>16964</v>
      </c>
      <c r="B433" s="182" t="s">
        <v>1098</v>
      </c>
      <c r="C433" s="186" t="s">
        <v>16965</v>
      </c>
      <c r="D433" s="230" t="s">
        <v>16965</v>
      </c>
      <c r="E433" s="182" t="s">
        <v>2384</v>
      </c>
      <c r="F433" s="182" t="s">
        <v>16964</v>
      </c>
      <c r="G433" s="182" t="s">
        <v>13177</v>
      </c>
      <c r="H433" s="183" t="s">
        <v>15840</v>
      </c>
      <c r="I433" s="184" t="s">
        <v>15840</v>
      </c>
      <c r="J433" s="184" t="s">
        <v>15840</v>
      </c>
      <c r="K433" s="224"/>
      <c r="L433" s="224"/>
      <c r="M433" s="224"/>
      <c r="N433" s="224"/>
      <c r="O433" s="224"/>
      <c r="P433" s="185"/>
      <c r="Q433" s="225"/>
      <c r="R433" s="182" t="str">
        <f ca="1">IF(ISERROR($V433),"",OFFSET('Smelter Look-up'!$C$4,$V433-4,0)&amp;"")</f>
        <v/>
      </c>
      <c r="S433" s="181" t="str">
        <f t="shared" ca="1" si="59"/>
        <v>US</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si="60"/>
        <v>0</v>
      </c>
      <c r="AB433" s="228" t="str">
        <f t="shared" si="61"/>
        <v>GoldNyrstar Metals</v>
      </c>
    </row>
    <row r="434" spans="1:28" s="227" customFormat="1" ht="102">
      <c r="A434" s="181" t="s">
        <v>16966</v>
      </c>
      <c r="B434" s="182" t="s">
        <v>1100</v>
      </c>
      <c r="C434" s="186" t="s">
        <v>16967</v>
      </c>
      <c r="D434" s="230" t="s">
        <v>16967</v>
      </c>
      <c r="E434" s="182" t="s">
        <v>2384</v>
      </c>
      <c r="F434" s="182" t="s">
        <v>16966</v>
      </c>
      <c r="G434" s="182" t="s">
        <v>13177</v>
      </c>
      <c r="H434" s="183" t="s">
        <v>16968</v>
      </c>
      <c r="I434" s="184" t="s">
        <v>16969</v>
      </c>
      <c r="J434" s="184" t="s">
        <v>2215</v>
      </c>
      <c r="K434" s="224" t="s">
        <v>16970</v>
      </c>
      <c r="L434" s="224" t="s">
        <v>16971</v>
      </c>
      <c r="M434" s="224"/>
      <c r="N434" s="224" t="s">
        <v>15917</v>
      </c>
      <c r="O434" s="224" t="s">
        <v>16972</v>
      </c>
      <c r="P434" s="185" t="s">
        <v>475</v>
      </c>
      <c r="Q434" s="225"/>
      <c r="R434" s="182" t="str">
        <f ca="1">IF(ISERROR($V434),"",OFFSET('Smelter Look-up'!$C$4,$V434-4,0)&amp;"")</f>
        <v/>
      </c>
      <c r="S434" s="181" t="str">
        <f t="shared" ca="1" si="59"/>
        <v>US</v>
      </c>
      <c r="T434" s="181" t="str">
        <f ca="1">IF(B434="","",IF(ISERROR(MATCH($J434,SorP!$B$1:$B$6226,0)),"",INDIRECT("'SorP'!$A$"&amp;MATCH($S434&amp;$J434,SorP!C:C,0))))</f>
        <v>US-TX</v>
      </c>
      <c r="U434" s="201"/>
      <c r="V434" s="226" t="e">
        <f>IF(C434="",NA(),IF(OR(C434="Smelter not listed",C434="Smelter not yet identified"),MATCH($B434&amp;$D434,'Smelter Look-up'!$J:$J,0),MATCH($B434&amp;$C434,'Smelter Look-up'!$J:$J,0)))</f>
        <v>#N/A</v>
      </c>
      <c r="X434" s="227">
        <f t="shared" si="60"/>
        <v>0</v>
      </c>
      <c r="AB434" s="228" t="str">
        <f t="shared" si="61"/>
        <v>TantalumQuantumClean</v>
      </c>
    </row>
    <row r="435" spans="1:28" s="227" customFormat="1" ht="51">
      <c r="A435" s="181" t="s">
        <v>706</v>
      </c>
      <c r="B435" s="182" t="s">
        <v>1098</v>
      </c>
      <c r="C435" s="186" t="s">
        <v>1132</v>
      </c>
      <c r="D435" s="230" t="s">
        <v>1132</v>
      </c>
      <c r="E435" s="182" t="s">
        <v>2384</v>
      </c>
      <c r="F435" s="182" t="s">
        <v>706</v>
      </c>
      <c r="G435" s="182" t="s">
        <v>13177</v>
      </c>
      <c r="H435" s="183"/>
      <c r="I435" s="184" t="s">
        <v>1612</v>
      </c>
      <c r="J435" s="184" t="s">
        <v>1613</v>
      </c>
      <c r="K435" s="224"/>
      <c r="L435" s="224"/>
      <c r="M435" s="224"/>
      <c r="N435" s="224"/>
      <c r="O435" s="224" t="s">
        <v>16973</v>
      </c>
      <c r="P435" s="185"/>
      <c r="Q435" s="225"/>
      <c r="R435" s="182" t="str">
        <f ca="1">IF(ISERROR($V435),"",OFFSET('Smelter Look-up'!$C$4,$V435-4,0)&amp;"")</f>
        <v>Sabin Metal Corp.</v>
      </c>
      <c r="S435" s="181" t="str">
        <f t="shared" ca="1" si="59"/>
        <v>US</v>
      </c>
      <c r="T435" s="181" t="str">
        <f ca="1">IF(B435="","",IF(ISERROR(MATCH($J435,SorP!$B$1:$B$6226,0)),"",INDIRECT("'SorP'!$A$"&amp;MATCH($S435&amp;$J435,SorP!C:C,0))))</f>
        <v>US-ND</v>
      </c>
      <c r="U435" s="201"/>
      <c r="V435" s="226">
        <f>IF(C435="",NA(),IF(OR(C435="Smelter not listed",C435="Smelter not yet identified"),MATCH($B435&amp;$D435,'Smelter Look-up'!$J:$J,0),MATCH($B435&amp;$C435,'Smelter Look-up'!$J:$J,0)))</f>
        <v>231</v>
      </c>
      <c r="X435" s="227">
        <f t="shared" si="60"/>
        <v>0</v>
      </c>
      <c r="AB435" s="228" t="str">
        <f t="shared" si="61"/>
        <v>GoldSabin Metal Corp.</v>
      </c>
    </row>
    <row r="436" spans="1:28" s="227" customFormat="1" ht="102">
      <c r="A436" s="181" t="s">
        <v>16974</v>
      </c>
      <c r="B436" s="182" t="s">
        <v>1098</v>
      </c>
      <c r="C436" s="186" t="s">
        <v>16975</v>
      </c>
      <c r="D436" s="230" t="s">
        <v>16975</v>
      </c>
      <c r="E436" s="182" t="s">
        <v>2384</v>
      </c>
      <c r="F436" s="182" t="s">
        <v>16974</v>
      </c>
      <c r="G436" s="182" t="s">
        <v>13177</v>
      </c>
      <c r="H436" s="183"/>
      <c r="I436" s="184" t="s">
        <v>1506</v>
      </c>
      <c r="J436" s="184" t="s">
        <v>1507</v>
      </c>
      <c r="K436" s="224"/>
      <c r="L436" s="224"/>
      <c r="M436" s="224"/>
      <c r="N436" s="224"/>
      <c r="O436" s="224" t="s">
        <v>16976</v>
      </c>
      <c r="P436" s="185"/>
      <c r="Q436" s="225"/>
      <c r="R436" s="182" t="str">
        <f ca="1">IF(ISERROR($V436),"",OFFSET('Smelter Look-up'!$C$4,$V436-4,0)&amp;"")</f>
        <v/>
      </c>
      <c r="S436" s="181" t="str">
        <f t="shared" ca="1" si="59"/>
        <v>US</v>
      </c>
      <c r="T436" s="181" t="str">
        <f ca="1">IF(B436="","",IF(ISERROR(MATCH($J436,SorP!$B$1:$B$6226,0)),"",INDIRECT("'SorP'!$A$"&amp;MATCH($S436&amp;$J436,SorP!C:C,0))))</f>
        <v>US-RI</v>
      </c>
      <c r="U436" s="201"/>
      <c r="V436" s="226" t="e">
        <f>IF(C436="",NA(),IF(OR(C436="Smelter not listed",C436="Smelter not yet identified"),MATCH($B436&amp;$D436,'Smelter Look-up'!$J:$J,0),MATCH($B436&amp;$C436,'Smelter Look-up'!$J:$J,0)))</f>
        <v>#N/A</v>
      </c>
      <c r="X436" s="227">
        <f t="shared" si="60"/>
        <v>0</v>
      </c>
      <c r="AB436" s="228" t="str">
        <f t="shared" si="61"/>
        <v>GoldGeib Refining Corporation</v>
      </c>
    </row>
    <row r="437" spans="1:28" s="227" customFormat="1" ht="25.5">
      <c r="A437" s="181" t="s">
        <v>2394</v>
      </c>
      <c r="B437" s="182" t="s">
        <v>1098</v>
      </c>
      <c r="C437" s="186" t="s">
        <v>2393</v>
      </c>
      <c r="D437" s="230" t="s">
        <v>2393</v>
      </c>
      <c r="E437" s="182" t="s">
        <v>2384</v>
      </c>
      <c r="F437" s="182" t="s">
        <v>2394</v>
      </c>
      <c r="G437" s="182" t="s">
        <v>13177</v>
      </c>
      <c r="H437" s="183"/>
      <c r="I437" s="184" t="s">
        <v>1506</v>
      </c>
      <c r="J437" s="184" t="s">
        <v>1507</v>
      </c>
      <c r="K437" s="224"/>
      <c r="L437" s="224"/>
      <c r="M437" s="224"/>
      <c r="N437" s="224"/>
      <c r="O437" s="224" t="s">
        <v>16977</v>
      </c>
      <c r="P437" s="185"/>
      <c r="Q437" s="225"/>
      <c r="R437" s="182" t="str">
        <f ca="1">IF(ISERROR($V437),"",OFFSET('Smelter Look-up'!$C$4,$V437-4,0)&amp;"")</f>
        <v>Pease &amp; Curren</v>
      </c>
      <c r="S437" s="181" t="str">
        <f t="shared" ca="1" si="59"/>
        <v>US</v>
      </c>
      <c r="T437" s="181" t="str">
        <f ca="1">IF(B437="","",IF(ISERROR(MATCH($J437,SorP!$B$1:$B$6226,0)),"",INDIRECT("'SorP'!$A$"&amp;MATCH($S437&amp;$J437,SorP!C:C,0))))</f>
        <v>US-RI</v>
      </c>
      <c r="U437" s="201"/>
      <c r="V437" s="226">
        <f>IF(C437="",NA(),IF(OR(C437="Smelter not listed",C437="Smelter not yet identified"),MATCH($B437&amp;$D437,'Smelter Look-up'!$J:$J,0),MATCH($B437&amp;$C437,'Smelter Look-up'!$J:$J,0)))</f>
        <v>213</v>
      </c>
      <c r="X437" s="227">
        <f t="shared" si="60"/>
        <v>0</v>
      </c>
      <c r="AB437" s="228" t="str">
        <f t="shared" si="61"/>
        <v>GoldPease &amp; Curren</v>
      </c>
    </row>
    <row r="438" spans="1:28" s="227" customFormat="1" ht="216.75">
      <c r="A438" s="181" t="s">
        <v>13117</v>
      </c>
      <c r="B438" s="182" t="s">
        <v>1098</v>
      </c>
      <c r="C438" s="186" t="s">
        <v>13116</v>
      </c>
      <c r="D438" s="230" t="s">
        <v>13116</v>
      </c>
      <c r="E438" s="182" t="s">
        <v>2384</v>
      </c>
      <c r="F438" s="182" t="s">
        <v>13117</v>
      </c>
      <c r="G438" s="182" t="s">
        <v>13177</v>
      </c>
      <c r="H438" s="183"/>
      <c r="I438" s="184" t="s">
        <v>13176</v>
      </c>
      <c r="J438" s="184" t="s">
        <v>1601</v>
      </c>
      <c r="K438" s="224"/>
      <c r="L438" s="224"/>
      <c r="M438" s="224"/>
      <c r="N438" s="224"/>
      <c r="O438" s="224" t="s">
        <v>16978</v>
      </c>
      <c r="P438" s="185"/>
      <c r="Q438" s="225"/>
      <c r="R438" s="182" t="str">
        <f ca="1">IF(ISERROR($V438),"",OFFSET('Smelter Look-up'!$C$4,$V438-4,0)&amp;"")</f>
        <v>QG Refining, LLC</v>
      </c>
      <c r="S438" s="181" t="str">
        <f t="shared" ca="1" si="59"/>
        <v>US</v>
      </c>
      <c r="T438" s="181" t="str">
        <f ca="1">IF(B438="","",IF(ISERROR(MATCH($J438,SorP!$B$1:$B$6226,0)),"",INDIRECT("'SorP'!$A$"&amp;MATCH($S438&amp;$J438,SorP!C:C,0))))</f>
        <v>US-OH</v>
      </c>
      <c r="U438" s="201"/>
      <c r="V438" s="226">
        <f>IF(C438="",NA(),IF(OR(C438="Smelter not listed",C438="Smelter not yet identified"),MATCH($B438&amp;$D438,'Smelter Look-up'!$J:$J,0),MATCH($B438&amp;$C438,'Smelter Look-up'!$J:$J,0)))</f>
        <v>223</v>
      </c>
      <c r="X438" s="227">
        <f t="shared" si="60"/>
        <v>0</v>
      </c>
      <c r="AB438" s="228" t="str">
        <f t="shared" si="61"/>
        <v>GoldQG Refining, LLC</v>
      </c>
    </row>
    <row r="439" spans="1:28" s="227" customFormat="1" ht="25.5">
      <c r="A439" s="181" t="s">
        <v>14916</v>
      </c>
      <c r="B439" s="182" t="s">
        <v>1098</v>
      </c>
      <c r="C439" s="186" t="s">
        <v>14915</v>
      </c>
      <c r="D439" s="230" t="s">
        <v>14915</v>
      </c>
      <c r="E439" s="182" t="s">
        <v>2384</v>
      </c>
      <c r="F439" s="182" t="s">
        <v>14916</v>
      </c>
      <c r="G439" s="182" t="s">
        <v>13177</v>
      </c>
      <c r="H439" s="183"/>
      <c r="I439" s="184" t="s">
        <v>14978</v>
      </c>
      <c r="J439" s="184" t="s">
        <v>1601</v>
      </c>
      <c r="K439" s="224"/>
      <c r="L439" s="224"/>
      <c r="M439" s="224"/>
      <c r="N439" s="224"/>
      <c r="O439" s="224" t="s">
        <v>16385</v>
      </c>
      <c r="P439" s="185"/>
      <c r="Q439" s="225"/>
      <c r="R439" s="182" t="str">
        <f ca="1">IF(ISERROR($V439),"",OFFSET('Smelter Look-up'!$C$4,$V439-4,0)&amp;"")</f>
        <v>Alexy Metals</v>
      </c>
      <c r="S439" s="181" t="str">
        <f t="shared" ca="1" si="59"/>
        <v>US</v>
      </c>
      <c r="T439" s="181" t="str">
        <f ca="1">IF(B439="","",IF(ISERROR(MATCH($J439,SorP!$B$1:$B$6226,0)),"",INDIRECT("'SorP'!$A$"&amp;MATCH($S439&amp;$J439,SorP!C:C,0))))</f>
        <v>US-OH</v>
      </c>
      <c r="U439" s="201"/>
      <c r="V439" s="226">
        <f>IF(C439="",NA(),IF(OR(C439="Smelter not listed",C439="Smelter not yet identified"),MATCH($B439&amp;$D439,'Smelter Look-up'!$J:$J,0),MATCH($B439&amp;$C439,'Smelter Look-up'!$J:$J,0)))</f>
        <v>18</v>
      </c>
      <c r="X439" s="227">
        <f t="shared" si="60"/>
        <v>0</v>
      </c>
      <c r="AB439" s="228" t="str">
        <f t="shared" si="61"/>
        <v>GoldAlexy Metals</v>
      </c>
    </row>
    <row r="440" spans="1:28" s="227" customFormat="1" ht="25.5">
      <c r="A440" s="181" t="s">
        <v>14938</v>
      </c>
      <c r="B440" s="182" t="s">
        <v>1098</v>
      </c>
      <c r="C440" s="186" t="s">
        <v>14937</v>
      </c>
      <c r="D440" s="230" t="s">
        <v>14937</v>
      </c>
      <c r="E440" s="182" t="s">
        <v>2384</v>
      </c>
      <c r="F440" s="182" t="s">
        <v>14938</v>
      </c>
      <c r="G440" s="182" t="s">
        <v>13177</v>
      </c>
      <c r="H440" s="183"/>
      <c r="I440" s="184" t="s">
        <v>14982</v>
      </c>
      <c r="J440" s="184" t="s">
        <v>1703</v>
      </c>
      <c r="K440" s="224"/>
      <c r="L440" s="224"/>
      <c r="M440" s="224"/>
      <c r="N440" s="224"/>
      <c r="O440" s="224"/>
      <c r="P440" s="185"/>
      <c r="Q440" s="225"/>
      <c r="R440" s="182" t="str">
        <f ca="1">IF(ISERROR($V440),"",OFFSET('Smelter Look-up'!$C$4,$V440-4,0)&amp;"")</f>
        <v>Metallix Refining Inc.</v>
      </c>
      <c r="S440" s="181" t="str">
        <f t="shared" ca="1" si="59"/>
        <v>US</v>
      </c>
      <c r="T440" s="181" t="str">
        <f ca="1">IF(B440="","",IF(ISERROR(MATCH($J440,SorP!$B$1:$B$6226,0)),"",INDIRECT("'SorP'!$A$"&amp;MATCH($S440&amp;$J440,SorP!C:C,0))))</f>
        <v>US-NC</v>
      </c>
      <c r="U440" s="201"/>
      <c r="V440" s="226">
        <f>IF(C440="",NA(),IF(OR(C440="Smelter not listed",C440="Smelter not yet identified"),MATCH($B440&amp;$D440,'Smelter Look-up'!$J:$J,0),MATCH($B440&amp;$C440,'Smelter Look-up'!$J:$J,0)))</f>
        <v>175</v>
      </c>
      <c r="X440" s="227">
        <f t="shared" si="60"/>
        <v>0</v>
      </c>
      <c r="AB440" s="228" t="str">
        <f t="shared" si="61"/>
        <v>GoldMetallix Refining Inc.</v>
      </c>
    </row>
    <row r="441" spans="1:28" s="227" customFormat="1" ht="25.5">
      <c r="A441" s="181" t="s">
        <v>15612</v>
      </c>
      <c r="B441" s="182" t="s">
        <v>1098</v>
      </c>
      <c r="C441" s="186" t="s">
        <v>15611</v>
      </c>
      <c r="D441" s="230" t="s">
        <v>15611</v>
      </c>
      <c r="E441" s="182" t="s">
        <v>2384</v>
      </c>
      <c r="F441" s="182" t="s">
        <v>15612</v>
      </c>
      <c r="G441" s="182" t="s">
        <v>13177</v>
      </c>
      <c r="H441" s="183"/>
      <c r="I441" s="184" t="s">
        <v>15613</v>
      </c>
      <c r="J441" s="184" t="s">
        <v>1507</v>
      </c>
      <c r="K441" s="224"/>
      <c r="L441" s="224"/>
      <c r="M441" s="224"/>
      <c r="N441" s="224"/>
      <c r="O441" s="224"/>
      <c r="P441" s="185"/>
      <c r="Q441" s="225"/>
      <c r="R441" s="182" t="str">
        <f ca="1">IF(ISERROR($V441),"",OFFSET('Smelter Look-up'!$C$4,$V441-4,0)&amp;"")</f>
        <v>NOBLE METAL SERVICES</v>
      </c>
      <c r="S441" s="181" t="str">
        <f t="shared" ca="1" si="59"/>
        <v>US</v>
      </c>
      <c r="T441" s="181" t="str">
        <f ca="1">IF(B441="","",IF(ISERROR(MATCH($J441,SorP!$B$1:$B$6226,0)),"",INDIRECT("'SorP'!$A$"&amp;MATCH($S441&amp;$J441,SorP!C:C,0))))</f>
        <v>US-RI</v>
      </c>
      <c r="U441" s="201"/>
      <c r="V441" s="226">
        <f>IF(C441="",NA(),IF(OR(C441="Smelter not listed",C441="Smelter not yet identified"),MATCH($B441&amp;$D441,'Smelter Look-up'!$J:$J,0),MATCH($B441&amp;$C441,'Smelter Look-up'!$J:$J,0)))</f>
        <v>202</v>
      </c>
      <c r="X441" s="227">
        <f t="shared" si="60"/>
        <v>0</v>
      </c>
      <c r="AB441" s="228" t="str">
        <f t="shared" si="61"/>
        <v>GoldNOBLE METAL SERVICES</v>
      </c>
    </row>
    <row r="442" spans="1:28" s="227" customFormat="1" ht="102">
      <c r="A442" s="181" t="s">
        <v>635</v>
      </c>
      <c r="B442" s="182" t="s">
        <v>1098</v>
      </c>
      <c r="C442" s="186" t="s">
        <v>607</v>
      </c>
      <c r="D442" s="230" t="s">
        <v>607</v>
      </c>
      <c r="E442" s="182" t="s">
        <v>862</v>
      </c>
      <c r="F442" s="182" t="s">
        <v>635</v>
      </c>
      <c r="G442" s="182" t="s">
        <v>13177</v>
      </c>
      <c r="H442" s="183"/>
      <c r="I442" s="184" t="s">
        <v>1512</v>
      </c>
      <c r="J442" s="184" t="s">
        <v>11961</v>
      </c>
      <c r="K442" s="224" t="s">
        <v>16979</v>
      </c>
      <c r="L442" s="224" t="s">
        <v>16980</v>
      </c>
      <c r="M442" s="224" t="s">
        <v>15833</v>
      </c>
      <c r="N442" s="224" t="s">
        <v>15827</v>
      </c>
      <c r="O442" s="224" t="s">
        <v>16981</v>
      </c>
      <c r="P442" s="185" t="s">
        <v>12407</v>
      </c>
      <c r="Q442" s="225" t="s">
        <v>15829</v>
      </c>
      <c r="R442" s="182" t="str">
        <f ca="1">IF(ISERROR($V442),"",OFFSET('Smelter Look-up'!$C$4,$V442-4,0)&amp;"")</f>
        <v>Almalyk Mining and Metallurgical Complex (AMMC)</v>
      </c>
      <c r="S442" s="181" t="str">
        <f t="shared" ca="1" si="59"/>
        <v>UZ</v>
      </c>
      <c r="T442" s="181" t="str">
        <f ca="1">IF(B442="","",IF(ISERROR(MATCH($J442,SorP!$B$1:$B$6226,0)),"",INDIRECT("'SorP'!$A$"&amp;MATCH($S442&amp;$J442,SorP!C:C,0))))</f>
        <v>UZ-TO</v>
      </c>
      <c r="U442" s="201"/>
      <c r="V442" s="226">
        <f>IF(C442="",NA(),IF(OR(C442="Smelter not listed",C442="Smelter not yet identified"),MATCH($B442&amp;$D442,'Smelter Look-up'!$J:$J,0),MATCH($B442&amp;$C442,'Smelter Look-up'!$J:$J,0)))</f>
        <v>20</v>
      </c>
      <c r="X442" s="227">
        <f t="shared" si="60"/>
        <v>0</v>
      </c>
      <c r="AB442" s="228" t="str">
        <f t="shared" si="61"/>
        <v>GoldAlmalyk Mining and Metallurgical Complex (AMMC)</v>
      </c>
    </row>
    <row r="443" spans="1:28" s="227" customFormat="1" ht="25.5">
      <c r="A443" s="181" t="s">
        <v>695</v>
      </c>
      <c r="B443" s="182" t="s">
        <v>1098</v>
      </c>
      <c r="C443" s="186" t="s">
        <v>1197</v>
      </c>
      <c r="D443" s="230" t="s">
        <v>1197</v>
      </c>
      <c r="E443" s="182" t="s">
        <v>862</v>
      </c>
      <c r="F443" s="182" t="s">
        <v>695</v>
      </c>
      <c r="G443" s="182" t="s">
        <v>13177</v>
      </c>
      <c r="H443" s="183" t="s">
        <v>16982</v>
      </c>
      <c r="I443" s="184" t="s">
        <v>1598</v>
      </c>
      <c r="J443" s="184" t="s">
        <v>11966</v>
      </c>
      <c r="K443" s="224" t="s">
        <v>16983</v>
      </c>
      <c r="L443" s="224" t="s">
        <v>16984</v>
      </c>
      <c r="M443" s="224" t="s">
        <v>15875</v>
      </c>
      <c r="N443" s="224" t="s">
        <v>15827</v>
      </c>
      <c r="O443" s="224" t="s">
        <v>16985</v>
      </c>
      <c r="P443" s="185" t="s">
        <v>12407</v>
      </c>
      <c r="Q443" s="225" t="s">
        <v>15829</v>
      </c>
      <c r="R443" s="182" t="str">
        <f ca="1">IF(ISERROR($V443),"",OFFSET('Smelter Look-up'!$C$4,$V443-4,0)&amp;"")</f>
        <v>Navoi Mining and Metallurgical Combinat</v>
      </c>
      <c r="S443" s="181" t="str">
        <f t="shared" ca="1" si="59"/>
        <v>UZ</v>
      </c>
      <c r="T443" s="181" t="str">
        <f ca="1">IF(B443="","",IF(ISERROR(MATCH($J443,SorP!$B$1:$B$6226,0)),"",INDIRECT("'SorP'!$A$"&amp;MATCH($S443&amp;$J443,SorP!C:C,0))))</f>
        <v>UZ-NW</v>
      </c>
      <c r="U443" s="201"/>
      <c r="V443" s="226">
        <f>IF(C443="",NA(),IF(OR(C443="Smelter not listed",C443="Smelter not yet identified"),MATCH($B443&amp;$D443,'Smelter Look-up'!$J:$J,0),MATCH($B443&amp;$C443,'Smelter Look-up'!$J:$J,0)))</f>
        <v>199</v>
      </c>
      <c r="X443" s="227">
        <f t="shared" si="60"/>
        <v>0</v>
      </c>
      <c r="AB443" s="228" t="str">
        <f t="shared" si="61"/>
        <v>GoldNavoi Mining and Metallurgical Combinat</v>
      </c>
    </row>
    <row r="444" spans="1:28" s="227" customFormat="1" ht="38.25">
      <c r="A444" s="181" t="s">
        <v>13777</v>
      </c>
      <c r="B444" s="182" t="s">
        <v>1101</v>
      </c>
      <c r="C444" s="186" t="s">
        <v>13763</v>
      </c>
      <c r="D444" s="230" t="s">
        <v>13763</v>
      </c>
      <c r="E444" s="182" t="s">
        <v>863</v>
      </c>
      <c r="F444" s="182" t="s">
        <v>13777</v>
      </c>
      <c r="G444" s="182" t="s">
        <v>13177</v>
      </c>
      <c r="H444" s="183" t="s">
        <v>16986</v>
      </c>
      <c r="I444" s="184" t="s">
        <v>13786</v>
      </c>
      <c r="J444" s="184" t="s">
        <v>1793</v>
      </c>
      <c r="K444" s="224" t="s">
        <v>16987</v>
      </c>
      <c r="L444" s="224" t="s">
        <v>16988</v>
      </c>
      <c r="M444" s="224" t="s">
        <v>16006</v>
      </c>
      <c r="N444" s="224"/>
      <c r="O444" s="224" t="s">
        <v>16989</v>
      </c>
      <c r="P444" s="185" t="s">
        <v>12407</v>
      </c>
      <c r="Q444" s="225" t="s">
        <v>15829</v>
      </c>
      <c r="R444" s="182" t="str">
        <f ca="1">IF(ISERROR($V444),"",OFFSET('Smelter Look-up'!$C$4,$V444-4,0)&amp;"")</f>
        <v>Asia Tungsten Products Vietnam Ltd.</v>
      </c>
      <c r="S444" s="181" t="str">
        <f t="shared" ca="1" si="59"/>
        <v>VN</v>
      </c>
      <c r="T444" s="181" t="str">
        <f ca="1">IF(B444="","",IF(ISERROR(MATCH($J444,SorP!$B$1:$B$6226,0)),"",INDIRECT("'SorP'!$A$"&amp;MATCH($S444&amp;$J444,SorP!C:C,0))))</f>
        <v>VN-HP</v>
      </c>
      <c r="U444" s="201"/>
      <c r="V444" s="226">
        <f>IF(C444="",NA(),IF(OR(C444="Smelter not listed",C444="Smelter not yet identified"),MATCH($B444&amp;$D444,'Smelter Look-up'!$J:$J,0),MATCH($B444&amp;$C444,'Smelter Look-up'!$J:$J,0)))</f>
        <v>561</v>
      </c>
      <c r="X444" s="227">
        <f t="shared" si="60"/>
        <v>0</v>
      </c>
      <c r="AB444" s="228" t="str">
        <f t="shared" si="61"/>
        <v>TungstenAsia Tungsten Products Vietnam Ltd.</v>
      </c>
    </row>
    <row r="445" spans="1:28" s="227" customFormat="1" ht="102">
      <c r="A445" s="181" t="s">
        <v>1394</v>
      </c>
      <c r="B445" s="182" t="s">
        <v>1101</v>
      </c>
      <c r="C445" s="186" t="s">
        <v>14973</v>
      </c>
      <c r="D445" s="230" t="s">
        <v>14973</v>
      </c>
      <c r="E445" s="182" t="s">
        <v>863</v>
      </c>
      <c r="F445" s="182" t="s">
        <v>1394</v>
      </c>
      <c r="G445" s="182" t="s">
        <v>13177</v>
      </c>
      <c r="H445" s="183" t="s">
        <v>16990</v>
      </c>
      <c r="I445" s="184" t="s">
        <v>1794</v>
      </c>
      <c r="J445" s="184" t="s">
        <v>12081</v>
      </c>
      <c r="K445" s="224" t="s">
        <v>16991</v>
      </c>
      <c r="L445" s="224" t="s">
        <v>16992</v>
      </c>
      <c r="M445" s="224" t="s">
        <v>15826</v>
      </c>
      <c r="N445" s="224" t="s">
        <v>15827</v>
      </c>
      <c r="O445" s="224" t="s">
        <v>16907</v>
      </c>
      <c r="P445" s="185" t="s">
        <v>476</v>
      </c>
      <c r="Q445" s="225" t="s">
        <v>15829</v>
      </c>
      <c r="R445" s="182" t="str">
        <f ca="1">IF(ISERROR($V445),"",OFFSET('Smelter Look-up'!$C$4,$V445-4,0)&amp;"")</f>
        <v>Masan High-Tech Materials</v>
      </c>
      <c r="S445" s="181" t="str">
        <f t="shared" ca="1" si="59"/>
        <v>VN</v>
      </c>
      <c r="T445" s="181" t="str">
        <f ca="1">IF(B445="","",IF(ISERROR(MATCH($J445,SorP!$B$1:$B$6226,0)),"",INDIRECT("'SorP'!$A$"&amp;MATCH($S445&amp;$J445,SorP!C:C,0))))</f>
        <v>VN-69</v>
      </c>
      <c r="U445" s="201"/>
      <c r="V445" s="226">
        <f>IF(C445="",NA(),IF(OR(C445="Smelter not listed",C445="Smelter not yet identified"),MATCH($B445&amp;$D445,'Smelter Look-up'!$J:$J,0),MATCH($B445&amp;$C445,'Smelter Look-up'!$J:$J,0)))</f>
        <v>611</v>
      </c>
      <c r="X445" s="227">
        <f t="shared" si="60"/>
        <v>0</v>
      </c>
      <c r="AB445" s="228" t="str">
        <f t="shared" si="61"/>
        <v>TungstenMasan High-Tech Materials</v>
      </c>
    </row>
    <row r="446" spans="1:28" s="227" customFormat="1" ht="25.5">
      <c r="A446" s="181" t="s">
        <v>15364</v>
      </c>
      <c r="B446" s="182" t="s">
        <v>1101</v>
      </c>
      <c r="C446" s="186" t="s">
        <v>15363</v>
      </c>
      <c r="D446" s="230" t="s">
        <v>15363</v>
      </c>
      <c r="E446" s="182" t="s">
        <v>863</v>
      </c>
      <c r="F446" s="182" t="s">
        <v>15364</v>
      </c>
      <c r="G446" s="182" t="s">
        <v>13177</v>
      </c>
      <c r="H446" s="183"/>
      <c r="I446" s="184" t="s">
        <v>15366</v>
      </c>
      <c r="J446" s="184" t="s">
        <v>12081</v>
      </c>
      <c r="K446" s="224" t="s">
        <v>16993</v>
      </c>
      <c r="L446" s="224" t="s">
        <v>16994</v>
      </c>
      <c r="M446" s="224"/>
      <c r="N446" s="224" t="s">
        <v>15827</v>
      </c>
      <c r="O446" s="224" t="s">
        <v>863</v>
      </c>
      <c r="P446" s="185" t="s">
        <v>12407</v>
      </c>
      <c r="Q446" s="225" t="s">
        <v>15829</v>
      </c>
      <c r="R446" s="182" t="str">
        <f ca="1">IF(ISERROR($V446),"",OFFSET('Smelter Look-up'!$C$4,$V446-4,0)&amp;"")</f>
        <v>Tungsten Vietnam Joint Stock Company</v>
      </c>
      <c r="S446" s="181" t="str">
        <f t="shared" ca="1" si="59"/>
        <v>VN</v>
      </c>
      <c r="T446" s="181" t="str">
        <f ca="1">IF(B446="","",IF(ISERROR(MATCH($J446,SorP!$B$1:$B$6226,0)),"",INDIRECT("'SorP'!$A$"&amp;MATCH($S446&amp;$J446,SorP!C:C,0))))</f>
        <v>VN-69</v>
      </c>
      <c r="U446" s="201"/>
      <c r="V446" s="226">
        <f>IF(C446="",NA(),IF(OR(C446="Smelter not listed",C446="Smelter not yet identified"),MATCH($B446&amp;$D446,'Smelter Look-up'!$J:$J,0),MATCH($B446&amp;$C446,'Smelter Look-up'!$J:$J,0)))</f>
        <v>628</v>
      </c>
      <c r="X446" s="227">
        <f t="shared" si="60"/>
        <v>0</v>
      </c>
      <c r="AB446" s="228" t="str">
        <f t="shared" si="61"/>
        <v>TungstenTungsten Vietnam Joint Stock Company</v>
      </c>
    </row>
    <row r="447" spans="1:28" s="227" customFormat="1" ht="25.5">
      <c r="A447" s="181" t="s">
        <v>15648</v>
      </c>
      <c r="B447" s="182" t="s">
        <v>1101</v>
      </c>
      <c r="C447" s="186" t="s">
        <v>15716</v>
      </c>
      <c r="D447" s="230" t="s">
        <v>15716</v>
      </c>
      <c r="E447" s="182" t="s">
        <v>863</v>
      </c>
      <c r="F447" s="182" t="s">
        <v>15648</v>
      </c>
      <c r="G447" s="182" t="s">
        <v>13177</v>
      </c>
      <c r="H447" s="183"/>
      <c r="I447" s="184" t="s">
        <v>15659</v>
      </c>
      <c r="J447" s="184" t="s">
        <v>12033</v>
      </c>
      <c r="K447" s="224" t="s">
        <v>16995</v>
      </c>
      <c r="L447" s="224" t="s">
        <v>16996</v>
      </c>
      <c r="M447" s="224"/>
      <c r="N447" s="224" t="s">
        <v>15827</v>
      </c>
      <c r="O447" s="224" t="s">
        <v>863</v>
      </c>
      <c r="P447" s="185" t="s">
        <v>15949</v>
      </c>
      <c r="Q447" s="225" t="s">
        <v>15829</v>
      </c>
      <c r="R447" s="182" t="str">
        <f ca="1">IF(ISERROR($V447),"",OFFSET('Smelter Look-up'!$C$4,$V447-4,0)&amp;"")</f>
        <v>KENEE MINING VIETNAM COMPANY LIMITED</v>
      </c>
      <c r="S447" s="181" t="str">
        <f t="shared" ca="1" si="59"/>
        <v>VN</v>
      </c>
      <c r="T447" s="181" t="str">
        <f ca="1">IF(B447="","",IF(ISERROR(MATCH($J447,SorP!$B$1:$B$6226,0)),"",INDIRECT("'SorP'!$A$"&amp;MATCH($S447&amp;$J447,SorP!C:C,0))))</f>
        <v>VN-32</v>
      </c>
      <c r="U447" s="201"/>
      <c r="V447" s="226">
        <f>IF(C447="",NA(),IF(OR(C447="Smelter not listed",C447="Smelter not yet identified"),MATCH($B447&amp;$D447,'Smelter Look-up'!$J:$J,0),MATCH($B447&amp;$C447,'Smelter Look-up'!$J:$J,0)))</f>
        <v>602</v>
      </c>
      <c r="X447" s="227">
        <f t="shared" si="60"/>
        <v>0</v>
      </c>
      <c r="AB447" s="228" t="str">
        <f t="shared" si="61"/>
        <v>TungstenKENEE MINING VIETNAM COMPANY LIMITED</v>
      </c>
    </row>
    <row r="448" spans="1:28" s="227" customFormat="1" ht="76.5">
      <c r="A448" s="181" t="s">
        <v>14965</v>
      </c>
      <c r="B448" s="182" t="s">
        <v>1099</v>
      </c>
      <c r="C448" s="186" t="s">
        <v>14964</v>
      </c>
      <c r="D448" s="230" t="s">
        <v>14964</v>
      </c>
      <c r="E448" s="182" t="s">
        <v>863</v>
      </c>
      <c r="F448" s="182" t="s">
        <v>14965</v>
      </c>
      <c r="G448" s="182" t="s">
        <v>13177</v>
      </c>
      <c r="H448" s="183"/>
      <c r="I448" s="184" t="s">
        <v>14988</v>
      </c>
      <c r="J448" s="184" t="s">
        <v>12119</v>
      </c>
      <c r="K448" s="224"/>
      <c r="L448" s="224"/>
      <c r="M448" s="224"/>
      <c r="N448" s="224"/>
      <c r="O448" s="224" t="s">
        <v>16997</v>
      </c>
      <c r="P448" s="185"/>
      <c r="Q448" s="225"/>
      <c r="R448" s="182" t="str">
        <f ca="1">IF(ISERROR($V448),"",OFFSET('Smelter Look-up'!$C$4,$V448-4,0)&amp;"")</f>
        <v>VQB Mineral and Trading Group JSC</v>
      </c>
      <c r="S448" s="181" t="str">
        <f t="shared" ca="1" si="59"/>
        <v>VN</v>
      </c>
      <c r="T448" s="181" t="str">
        <f ca="1">IF(B448="","",IF(ISERROR(MATCH($J448,SorP!$B$1:$B$6226,0)),"",INDIRECT("'SorP'!$A$"&amp;MATCH($S448&amp;$J448,SorP!C:C,0))))</f>
        <v>VN-HN</v>
      </c>
      <c r="U448" s="201"/>
      <c r="V448" s="226">
        <f>IF(C448="",NA(),IF(OR(C448="Smelter not listed",C448="Smelter not yet identified"),MATCH($B448&amp;$D448,'Smelter Look-up'!$J:$J,0),MATCH($B448&amp;$C448,'Smelter Look-up'!$J:$J,0)))</f>
        <v>529</v>
      </c>
      <c r="X448" s="227">
        <f t="shared" si="60"/>
        <v>0</v>
      </c>
      <c r="AB448" s="228" t="str">
        <f t="shared" si="61"/>
        <v>TinVQB Mineral and Trading Group JSC</v>
      </c>
    </row>
    <row r="449" spans="1:28" s="227" customFormat="1" ht="25.5">
      <c r="A449" s="181" t="s">
        <v>16998</v>
      </c>
      <c r="B449" s="182" t="s">
        <v>1101</v>
      </c>
      <c r="C449" s="186" t="s">
        <v>16999</v>
      </c>
      <c r="D449" s="230" t="s">
        <v>16999</v>
      </c>
      <c r="E449" s="182" t="s">
        <v>863</v>
      </c>
      <c r="F449" s="182" t="s">
        <v>16998</v>
      </c>
      <c r="G449" s="182" t="s">
        <v>13177</v>
      </c>
      <c r="H449" s="183" t="s">
        <v>15840</v>
      </c>
      <c r="I449" s="184" t="s">
        <v>15840</v>
      </c>
      <c r="J449" s="184" t="s">
        <v>15840</v>
      </c>
      <c r="K449" s="224"/>
      <c r="L449" s="224"/>
      <c r="M449" s="224"/>
      <c r="N449" s="224"/>
      <c r="O449" s="224"/>
      <c r="P449" s="185"/>
      <c r="Q449" s="225"/>
      <c r="R449" s="182" t="str">
        <f ca="1">IF(ISERROR($V449),"",OFFSET('Smelter Look-up'!$C$4,$V449-4,0)&amp;"")</f>
        <v/>
      </c>
      <c r="S449" s="181" t="str">
        <f t="shared" ca="1" si="59"/>
        <v>VN</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si="60"/>
        <v>0</v>
      </c>
      <c r="AB449" s="228" t="str">
        <f t="shared" si="61"/>
        <v>TungstenSanher Tungsten Vietnam Co., Ltd.</v>
      </c>
    </row>
    <row r="450" spans="1:28" s="227" customFormat="1" ht="51">
      <c r="A450" s="181" t="s">
        <v>1763</v>
      </c>
      <c r="B450" s="182" t="s">
        <v>1099</v>
      </c>
      <c r="C450" s="186" t="s">
        <v>1762</v>
      </c>
      <c r="D450" s="230" t="s">
        <v>1762</v>
      </c>
      <c r="E450" s="182" t="s">
        <v>863</v>
      </c>
      <c r="F450" s="182" t="s">
        <v>1763</v>
      </c>
      <c r="G450" s="182" t="s">
        <v>13177</v>
      </c>
      <c r="H450" s="183"/>
      <c r="I450" s="184" t="s">
        <v>1764</v>
      </c>
      <c r="J450" s="184" t="s">
        <v>12125</v>
      </c>
      <c r="K450" s="224"/>
      <c r="L450" s="224"/>
      <c r="M450" s="224"/>
      <c r="N450" s="224"/>
      <c r="O450" s="224" t="s">
        <v>17000</v>
      </c>
      <c r="P450" s="185"/>
      <c r="Q450" s="225"/>
      <c r="R450" s="182" t="str">
        <f ca="1">IF(ISERROR($V450),"",OFFSET('Smelter Look-up'!$C$4,$V450-4,0)&amp;"")</f>
        <v>Electro-Mechanical Facility of the Cao Bang Minerals &amp; Metallurgy Joint Stock Company</v>
      </c>
      <c r="S450" s="181" t="str">
        <f t="shared" ca="1" si="59"/>
        <v>VN</v>
      </c>
      <c r="T450" s="181" t="str">
        <f ca="1">IF(B450="","",IF(ISERROR(MATCH($J450,SorP!$B$1:$B$6226,0)),"",INDIRECT("'SorP'!$A$"&amp;MATCH($S450&amp;$J450,SorP!C:C,0))))</f>
        <v>VN-04</v>
      </c>
      <c r="U450" s="201"/>
      <c r="V450" s="226">
        <f>IF(C450="",NA(),IF(OR(C450="Smelter not listed",C450="Smelter not yet identified"),MATCH($B450&amp;$D450,'Smelter Look-up'!$J:$J,0),MATCH($B450&amp;$C450,'Smelter Look-up'!$J:$J,0)))</f>
        <v>427</v>
      </c>
      <c r="X450" s="227">
        <f t="shared" si="60"/>
        <v>0</v>
      </c>
      <c r="AB450" s="228" t="str">
        <f t="shared" si="61"/>
        <v>TinElectro-Mechanical Facility of the Cao Bang Minerals &amp; Metallurgy Joint Stock Company</v>
      </c>
    </row>
    <row r="451" spans="1:28" s="227" customFormat="1" ht="38.25">
      <c r="A451" s="181" t="s">
        <v>1766</v>
      </c>
      <c r="B451" s="182" t="s">
        <v>1099</v>
      </c>
      <c r="C451" s="186" t="s">
        <v>1765</v>
      </c>
      <c r="D451" s="230" t="s">
        <v>1765</v>
      </c>
      <c r="E451" s="182" t="s">
        <v>863</v>
      </c>
      <c r="F451" s="182" t="s">
        <v>1766</v>
      </c>
      <c r="G451" s="182" t="s">
        <v>13177</v>
      </c>
      <c r="H451" s="183"/>
      <c r="I451" s="184" t="s">
        <v>1767</v>
      </c>
      <c r="J451" s="184" t="s">
        <v>12075</v>
      </c>
      <c r="K451" s="224"/>
      <c r="L451" s="224"/>
      <c r="M451" s="224"/>
      <c r="N451" s="224"/>
      <c r="O451" s="224" t="s">
        <v>17001</v>
      </c>
      <c r="P451" s="185"/>
      <c r="Q451" s="225"/>
      <c r="R451" s="182" t="str">
        <f ca="1">IF(ISERROR($V451),"",OFFSET('Smelter Look-up'!$C$4,$V451-4,0)&amp;"")</f>
        <v>Nghe Tinh Non-Ferrous Metals Joint Stock Company</v>
      </c>
      <c r="S451" s="181" t="str">
        <f t="shared" ca="1" si="59"/>
        <v>VN</v>
      </c>
      <c r="T451" s="181" t="str">
        <f ca="1">IF(B451="","",IF(ISERROR(MATCH($J451,SorP!$B$1:$B$6226,0)),"",INDIRECT("'SorP'!$A$"&amp;MATCH($S451&amp;$J451,SorP!C:C,0))))</f>
        <v>VN-22</v>
      </c>
      <c r="U451" s="201"/>
      <c r="V451" s="226">
        <f>IF(C451="",NA(),IF(OR(C451="Smelter not listed",C451="Smelter not yet identified"),MATCH($B451&amp;$D451,'Smelter Look-up'!$J:$J,0),MATCH($B451&amp;$C451,'Smelter Look-up'!$J:$J,0)))</f>
        <v>487</v>
      </c>
      <c r="X451" s="227">
        <f t="shared" si="60"/>
        <v>0</v>
      </c>
      <c r="AB451" s="228" t="str">
        <f t="shared" si="61"/>
        <v>TinNghe Tinh Non-Ferrous Metals Joint Stock Company</v>
      </c>
    </row>
    <row r="452" spans="1:28" s="227" customFormat="1" ht="25.5">
      <c r="A452" s="181" t="s">
        <v>1769</v>
      </c>
      <c r="B452" s="182" t="s">
        <v>1099</v>
      </c>
      <c r="C452" s="186" t="s">
        <v>1768</v>
      </c>
      <c r="D452" s="230" t="s">
        <v>1768</v>
      </c>
      <c r="E452" s="182" t="s">
        <v>863</v>
      </c>
      <c r="F452" s="182" t="s">
        <v>1769</v>
      </c>
      <c r="G452" s="182" t="s">
        <v>13177</v>
      </c>
      <c r="H452" s="183"/>
      <c r="I452" s="184" t="s">
        <v>1770</v>
      </c>
      <c r="J452" s="184" t="s">
        <v>12103</v>
      </c>
      <c r="K452" s="224"/>
      <c r="L452" s="224"/>
      <c r="M452" s="224"/>
      <c r="N452" s="224"/>
      <c r="O452" s="224" t="s">
        <v>17002</v>
      </c>
      <c r="P452" s="185"/>
      <c r="Q452" s="225"/>
      <c r="R452" s="182" t="str">
        <f ca="1">IF(ISERROR($V452),"",OFFSET('Smelter Look-up'!$C$4,$V452-4,0)&amp;"")</f>
        <v>Tuyen Quang Non-Ferrous Metals Joint Stock Company</v>
      </c>
      <c r="S452" s="181" t="str">
        <f t="shared" ca="1" si="59"/>
        <v>VN</v>
      </c>
      <c r="T452" s="181" t="str">
        <f ca="1">IF(B452="","",IF(ISERROR(MATCH($J452,SorP!$B$1:$B$6226,0)),"",INDIRECT("'SorP'!$A$"&amp;MATCH($S452&amp;$J452,SorP!C:C,0))))</f>
        <v>VN-07</v>
      </c>
      <c r="U452" s="201"/>
      <c r="V452" s="226">
        <f>IF(C452="",NA(),IF(OR(C452="Smelter not listed",C452="Smelter not yet identified"),MATCH($B452&amp;$D452,'Smelter Look-up'!$J:$J,0),MATCH($B452&amp;$C452,'Smelter Look-up'!$J:$J,0)))</f>
        <v>527</v>
      </c>
      <c r="X452" s="227">
        <f t="shared" si="60"/>
        <v>0</v>
      </c>
      <c r="AB452" s="228" t="str">
        <f t="shared" si="61"/>
        <v>TinTuyen Quang Non-Ferrous Metals Joint Stock Company</v>
      </c>
    </row>
    <row r="453" spans="1:28" s="227" customFormat="1" ht="25.5">
      <c r="A453" s="181" t="s">
        <v>2092</v>
      </c>
      <c r="B453" s="182" t="s">
        <v>1099</v>
      </c>
      <c r="C453" s="186" t="s">
        <v>2091</v>
      </c>
      <c r="D453" s="230" t="s">
        <v>2091</v>
      </c>
      <c r="E453" s="182" t="s">
        <v>863</v>
      </c>
      <c r="F453" s="182" t="s">
        <v>2092</v>
      </c>
      <c r="G453" s="182" t="s">
        <v>13177</v>
      </c>
      <c r="H453" s="183"/>
      <c r="I453" s="184" t="s">
        <v>1767</v>
      </c>
      <c r="J453" s="184" t="s">
        <v>12075</v>
      </c>
      <c r="K453" s="224"/>
      <c r="L453" s="224"/>
      <c r="M453" s="224"/>
      <c r="N453" s="224"/>
      <c r="O453" s="224" t="s">
        <v>17003</v>
      </c>
      <c r="P453" s="185"/>
      <c r="Q453" s="225"/>
      <c r="R453" s="182" t="str">
        <f ca="1">IF(ISERROR($V453),"",OFFSET('Smelter Look-up'!$C$4,$V453-4,0)&amp;"")</f>
        <v>An Vinh Joint Stock Mineral Processing Company</v>
      </c>
      <c r="S453" s="181" t="str">
        <f t="shared" ref="S453" ca="1" si="62">IF(B453="","",IF(ISERROR(MATCH($E453,CL,0)),"Unknown",INDIRECT("'C'!$A$"&amp;MATCH($E453,CL,0)+1)))</f>
        <v>VN</v>
      </c>
      <c r="T453" s="181" t="str">
        <f ca="1">IF(B453="","",IF(ISERROR(MATCH($J453,SorP!$B$1:$B$6226,0)),"",INDIRECT("'SorP'!$A$"&amp;MATCH($S453&amp;$J453,SorP!C:C,0))))</f>
        <v>VN-22</v>
      </c>
      <c r="U453" s="201"/>
      <c r="V453" s="226">
        <f>IF(C453="",NA(),IF(OR(C453="Smelter not listed",C453="Smelter not yet identified"),MATCH($B453&amp;$D453,'Smelter Look-up'!$J:$J,0),MATCH($B453&amp;$C453,'Smelter Look-up'!$J:$J,0)))</f>
        <v>403</v>
      </c>
      <c r="X453" s="227">
        <f t="shared" ref="X453" si="63">IF(AND(C453="Smelter not listed",OR(LEN(D453)=0,LEN(E453)=0)),1,0)</f>
        <v>0</v>
      </c>
      <c r="AB453" s="228" t="str">
        <f t="shared" ref="AB453" si="64">B453&amp;C453</f>
        <v>TinAn Vinh Joint Stock Mineral Processing Company</v>
      </c>
    </row>
    <row r="454" spans="1:28" s="227" customFormat="1" ht="25.5">
      <c r="A454" s="181" t="s">
        <v>17004</v>
      </c>
      <c r="B454" s="182" t="s">
        <v>1099</v>
      </c>
      <c r="C454" s="186" t="s">
        <v>17005</v>
      </c>
      <c r="D454" s="230" t="s">
        <v>17005</v>
      </c>
      <c r="E454" s="182" t="s">
        <v>863</v>
      </c>
      <c r="F454" s="182" t="s">
        <v>17004</v>
      </c>
      <c r="G454" s="182" t="s">
        <v>13177</v>
      </c>
      <c r="H454" s="183"/>
      <c r="I454" s="184" t="s">
        <v>17006</v>
      </c>
      <c r="J454" s="184" t="s">
        <v>12081</v>
      </c>
      <c r="K454" s="224"/>
      <c r="L454" s="224"/>
      <c r="M454" s="224"/>
      <c r="N454" s="224" t="s">
        <v>17007</v>
      </c>
      <c r="O454" s="224" t="s">
        <v>17008</v>
      </c>
      <c r="P454" s="185" t="s">
        <v>476</v>
      </c>
      <c r="Q454" s="225"/>
      <c r="R454" s="182" t="str">
        <f ca="1">IF(ISERROR($V454),"",OFFSET('Smelter Look-up'!$C$4,$V454-4,0)&amp;"")</f>
        <v/>
      </c>
      <c r="S454" s="181" t="str">
        <f t="shared" ref="S454:S485" ca="1" si="65">IF(B454="","",IF(ISERROR(MATCH($E454,CL,0)),"Unknown",INDIRECT("'C'!$A$"&amp;MATCH($E454,CL,0)+1)))</f>
        <v>VN</v>
      </c>
      <c r="T454" s="181" t="str">
        <f ca="1">IF(B454="","",IF(ISERROR(MATCH($J454,SorP!$B$1:$B$6226,0)),"",INDIRECT("'SorP'!$A$"&amp;MATCH($S454&amp;$J454,SorP!C:C,0))))</f>
        <v>VN-69</v>
      </c>
      <c r="U454" s="201"/>
      <c r="V454" s="226" t="e">
        <f>IF(C454="",NA(),IF(OR(C454="Smelter not listed",C454="Smelter not yet identified"),MATCH($B454&amp;$D454,'Smelter Look-up'!$J:$J,0),MATCH($B454&amp;$C454,'Smelter Look-up'!$J:$J,0)))</f>
        <v>#N/A</v>
      </c>
      <c r="X454" s="227">
        <f t="shared" ref="X454:X485" si="66">IF(AND(C454="Smelter not listed",OR(LEN(D454)=0,LEN(E454)=0)),1,0)</f>
        <v>0</v>
      </c>
      <c r="AB454" s="228" t="str">
        <f t="shared" ref="AB454:AB485" si="67">B454&amp;C454</f>
        <v>TinThai Nguyen Mining and Metallurgy Co., Ltd.</v>
      </c>
    </row>
    <row r="455" spans="1:28" s="227" customFormat="1" ht="25.5">
      <c r="A455" s="181" t="s">
        <v>15361</v>
      </c>
      <c r="B455" s="182" t="s">
        <v>1101</v>
      </c>
      <c r="C455" s="186" t="s">
        <v>15360</v>
      </c>
      <c r="D455" s="230" t="s">
        <v>15360</v>
      </c>
      <c r="E455" s="182" t="s">
        <v>863</v>
      </c>
      <c r="F455" s="182" t="s">
        <v>15361</v>
      </c>
      <c r="G455" s="182" t="s">
        <v>13177</v>
      </c>
      <c r="H455" s="183"/>
      <c r="I455" s="184" t="s">
        <v>15367</v>
      </c>
      <c r="J455" s="184" t="s">
        <v>12085</v>
      </c>
      <c r="K455" s="224"/>
      <c r="L455" s="224"/>
      <c r="M455" s="224"/>
      <c r="N455" s="224"/>
      <c r="O455" s="224"/>
      <c r="P455" s="185"/>
      <c r="Q455" s="225"/>
      <c r="R455" s="182" t="str">
        <f ca="1">IF(ISERROR($V455),"",OFFSET('Smelter Look-up'!$C$4,$V455-4,0)&amp;"")</f>
        <v>Nam Viet Cromit Joint Stock Company</v>
      </c>
      <c r="S455" s="181" t="str">
        <f t="shared" ca="1" si="65"/>
        <v>VN</v>
      </c>
      <c r="T455" s="181" t="str">
        <f ca="1">IF(B455="","",IF(ISERROR(MATCH($J455,SorP!$B$1:$B$6226,0)),"",INDIRECT("'SorP'!$A$"&amp;MATCH($S455&amp;$J455,SorP!C:C,0))))</f>
        <v>VN-21</v>
      </c>
      <c r="U455" s="201"/>
      <c r="V455" s="226">
        <f>IF(C455="",NA(),IF(OR(C455="Smelter not listed",C455="Smelter not yet identified"),MATCH($B455&amp;$D455,'Smelter Look-up'!$J:$J,0),MATCH($B455&amp;$C455,'Smelter Look-up'!$J:$J,0)))</f>
        <v>614</v>
      </c>
      <c r="X455" s="227">
        <f t="shared" si="66"/>
        <v>0</v>
      </c>
      <c r="AB455" s="228" t="str">
        <f t="shared" si="67"/>
        <v>TungstenNam Viet Cromit Joint Stock Company</v>
      </c>
    </row>
    <row r="456" spans="1:28" s="227" customFormat="1" ht="38.25">
      <c r="A456" s="181" t="s">
        <v>1352</v>
      </c>
      <c r="B456" s="182" t="s">
        <v>1098</v>
      </c>
      <c r="C456" s="186" t="s">
        <v>1351</v>
      </c>
      <c r="D456" s="230" t="s">
        <v>1351</v>
      </c>
      <c r="E456" s="182" t="s">
        <v>866</v>
      </c>
      <c r="F456" s="182" t="s">
        <v>1352</v>
      </c>
      <c r="G456" s="182" t="s">
        <v>13177</v>
      </c>
      <c r="H456" s="183"/>
      <c r="I456" s="184" t="s">
        <v>1662</v>
      </c>
      <c r="J456" s="184" t="s">
        <v>1663</v>
      </c>
      <c r="K456" s="224"/>
      <c r="L456" s="224"/>
      <c r="M456" s="224"/>
      <c r="N456" s="224"/>
      <c r="O456" s="224" t="s">
        <v>17009</v>
      </c>
      <c r="P456" s="185"/>
      <c r="Q456" s="225"/>
      <c r="R456" s="182" t="str">
        <f ca="1">IF(ISERROR($V456),"",OFFSET('Smelter Look-up'!$C$4,$V456-4,0)&amp;"")</f>
        <v>Fidelity Printers and Refiners Ltd.</v>
      </c>
      <c r="S456" s="181" t="str">
        <f t="shared" ca="1" si="65"/>
        <v>ZW</v>
      </c>
      <c r="T456" s="181" t="str">
        <f ca="1">IF(B456="","",IF(ISERROR(MATCH($J456,SorP!$B$1:$B$6226,0)),"",INDIRECT("'SorP'!$A$"&amp;MATCH($S456&amp;$J456,SorP!C:C,0))))</f>
        <v>ZW-HA</v>
      </c>
      <c r="U456" s="201"/>
      <c r="V456" s="226">
        <f>IF(C456="",NA(),IF(OR(C456="Smelter not listed",C456="Smelter not yet identified"),MATCH($B456&amp;$D456,'Smelter Look-up'!$J:$J,0),MATCH($B456&amp;$C456,'Smelter Look-up'!$J:$J,0)))</f>
        <v>84</v>
      </c>
      <c r="X456" s="227">
        <f t="shared" si="66"/>
        <v>0</v>
      </c>
      <c r="AB456" s="228" t="str">
        <f t="shared" si="67"/>
        <v>GoldFidelity Printers and Refiners Ltd.</v>
      </c>
    </row>
    <row r="457" spans="1:28" s="227" customFormat="1" ht="25.5">
      <c r="A457" s="181" t="s">
        <v>17010</v>
      </c>
      <c r="B457" s="182" t="s">
        <v>1098</v>
      </c>
      <c r="C457" s="186" t="s">
        <v>17011</v>
      </c>
      <c r="D457" s="230" t="s">
        <v>17011</v>
      </c>
      <c r="E457" s="182"/>
      <c r="F457" s="182" t="s">
        <v>17010</v>
      </c>
      <c r="G457" s="182"/>
      <c r="H457" s="183"/>
      <c r="I457" s="184" t="s">
        <v>15840</v>
      </c>
      <c r="J457" s="184" t="s">
        <v>15840</v>
      </c>
      <c r="K457" s="224"/>
      <c r="L457" s="224"/>
      <c r="M457" s="224"/>
      <c r="N457" s="224"/>
      <c r="O457" s="224"/>
      <c r="P457" s="185"/>
      <c r="Q457" s="225"/>
      <c r="R457" s="182" t="str">
        <f ca="1">IF(ISERROR($V457),"",OFFSET('Smelter Look-up'!$C$4,$V457-4,0)&amp;"")</f>
        <v/>
      </c>
      <c r="S457" s="181" t="str">
        <f t="shared" ca="1" si="65"/>
        <v>Unknown</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si="66"/>
        <v>0</v>
      </c>
      <c r="AB457" s="228" t="str">
        <f t="shared" si="67"/>
        <v>GoldGUANGDONG JINXIAN GAOXIN CAI LIAO GONG SI</v>
      </c>
    </row>
    <row r="458" spans="1:28" s="227" customFormat="1" ht="25.5">
      <c r="A458" s="181" t="s">
        <v>17012</v>
      </c>
      <c r="B458" s="182" t="s">
        <v>1098</v>
      </c>
      <c r="C458" s="186" t="s">
        <v>17013</v>
      </c>
      <c r="D458" s="230" t="s">
        <v>17013</v>
      </c>
      <c r="E458" s="182"/>
      <c r="F458" s="182" t="s">
        <v>17012</v>
      </c>
      <c r="G458" s="182"/>
      <c r="H458" s="183" t="s">
        <v>15840</v>
      </c>
      <c r="I458" s="184" t="s">
        <v>15840</v>
      </c>
      <c r="J458" s="184" t="s">
        <v>15840</v>
      </c>
      <c r="K458" s="224"/>
      <c r="L458" s="224"/>
      <c r="M458" s="224"/>
      <c r="N458" s="224"/>
      <c r="O458" s="224"/>
      <c r="P458" s="185"/>
      <c r="Q458" s="225"/>
      <c r="R458" s="182" t="str">
        <f ca="1">IF(ISERROR($V458),"",OFFSET('Smelter Look-up'!$C$4,$V458-4,0)&amp;"")</f>
        <v/>
      </c>
      <c r="S458" s="181" t="str">
        <f t="shared" ca="1" si="65"/>
        <v>Unknown</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si="66"/>
        <v>0</v>
      </c>
      <c r="AB458" s="228" t="str">
        <f t="shared" si="67"/>
        <v>GoldHetai Gold Mineral Guangdong Co., Ltd.</v>
      </c>
    </row>
    <row r="459" spans="1:28" s="227" customFormat="1" ht="20.25">
      <c r="A459" s="181" t="s">
        <v>17014</v>
      </c>
      <c r="B459" s="182" t="s">
        <v>1099</v>
      </c>
      <c r="C459" s="186" t="s">
        <v>17015</v>
      </c>
      <c r="D459" s="230" t="s">
        <v>17015</v>
      </c>
      <c r="E459" s="182"/>
      <c r="F459" s="182" t="s">
        <v>17014</v>
      </c>
      <c r="G459" s="182"/>
      <c r="H459" s="183" t="s">
        <v>15840</v>
      </c>
      <c r="I459" s="184" t="s">
        <v>15840</v>
      </c>
      <c r="J459" s="184" t="s">
        <v>15840</v>
      </c>
      <c r="K459" s="224"/>
      <c r="L459" s="224"/>
      <c r="M459" s="224"/>
      <c r="N459" s="224"/>
      <c r="O459" s="224"/>
      <c r="P459" s="185"/>
      <c r="Q459" s="225"/>
      <c r="R459" s="182" t="str">
        <f ca="1">IF(ISERROR($V459),"",OFFSET('Smelter Look-up'!$C$4,$V459-4,0)&amp;"")</f>
        <v/>
      </c>
      <c r="S459" s="181" t="str">
        <f t="shared" ca="1" si="65"/>
        <v>Unknown</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si="66"/>
        <v>0</v>
      </c>
      <c r="AB459" s="228" t="str">
        <f t="shared" si="67"/>
        <v>TinJiang Jia Wang Technology Co.</v>
      </c>
    </row>
    <row r="460" spans="1:28" s="227" customFormat="1" ht="20.25">
      <c r="A460" s="181" t="s">
        <v>17016</v>
      </c>
      <c r="B460" s="182" t="s">
        <v>1098</v>
      </c>
      <c r="C460" s="186" t="s">
        <v>17017</v>
      </c>
      <c r="D460" s="230" t="s">
        <v>17017</v>
      </c>
      <c r="E460" s="182"/>
      <c r="F460" s="182" t="s">
        <v>17016</v>
      </c>
      <c r="G460" s="182"/>
      <c r="H460" s="183" t="s">
        <v>15840</v>
      </c>
      <c r="I460" s="184" t="s">
        <v>15840</v>
      </c>
      <c r="J460" s="184" t="s">
        <v>15840</v>
      </c>
      <c r="K460" s="224"/>
      <c r="L460" s="224"/>
      <c r="M460" s="224"/>
      <c r="N460" s="224"/>
      <c r="O460" s="224"/>
      <c r="P460" s="185"/>
      <c r="Q460" s="225"/>
      <c r="R460" s="182" t="str">
        <f ca="1">IF(ISERROR($V460),"",OFFSET('Smelter Look-up'!$C$4,$V460-4,0)&amp;"")</f>
        <v/>
      </c>
      <c r="S460" s="181" t="str">
        <f t="shared" ca="1" si="65"/>
        <v>Unknown</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si="66"/>
        <v>0</v>
      </c>
      <c r="AB460" s="228" t="str">
        <f t="shared" si="67"/>
        <v>GoldJin Jinyin Refining Co., Ltd.</v>
      </c>
    </row>
    <row r="461" spans="1:28" s="227" customFormat="1" ht="20.25">
      <c r="A461" s="181" t="s">
        <v>17018</v>
      </c>
      <c r="B461" s="182" t="s">
        <v>1099</v>
      </c>
      <c r="C461" s="186" t="s">
        <v>17019</v>
      </c>
      <c r="D461" s="230" t="s">
        <v>17019</v>
      </c>
      <c r="E461" s="182"/>
      <c r="F461" s="182" t="s">
        <v>17018</v>
      </c>
      <c r="G461" s="182"/>
      <c r="H461" s="183" t="s">
        <v>15840</v>
      </c>
      <c r="I461" s="184" t="s">
        <v>15840</v>
      </c>
      <c r="J461" s="184" t="s">
        <v>15840</v>
      </c>
      <c r="K461" s="224"/>
      <c r="L461" s="224"/>
      <c r="M461" s="224"/>
      <c r="N461" s="224"/>
      <c r="O461" s="224"/>
      <c r="P461" s="185"/>
      <c r="Q461" s="225"/>
      <c r="R461" s="182" t="str">
        <f ca="1">IF(ISERROR($V461),"",OFFSET('Smelter Look-up'!$C$4,$V461-4,0)&amp;"")</f>
        <v/>
      </c>
      <c r="S461" s="181" t="str">
        <f t="shared" ca="1" si="65"/>
        <v>Unknown</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si="66"/>
        <v>0</v>
      </c>
      <c r="AB461" s="228" t="str">
        <f t="shared" si="67"/>
        <v>TinNey Metals and Alloys</v>
      </c>
    </row>
    <row r="462" spans="1:28" s="227" customFormat="1" ht="20.25">
      <c r="A462" s="181" t="s">
        <v>17020</v>
      </c>
      <c r="B462" s="182" t="s">
        <v>1098</v>
      </c>
      <c r="C462" s="186" t="s">
        <v>17021</v>
      </c>
      <c r="D462" s="230" t="s">
        <v>17021</v>
      </c>
      <c r="E462" s="182"/>
      <c r="F462" s="182" t="s">
        <v>17020</v>
      </c>
      <c r="G462" s="182"/>
      <c r="H462" s="183" t="s">
        <v>15840</v>
      </c>
      <c r="I462" s="184" t="s">
        <v>15840</v>
      </c>
      <c r="J462" s="184" t="s">
        <v>15840</v>
      </c>
      <c r="K462" s="224"/>
      <c r="L462" s="224"/>
      <c r="M462" s="224"/>
      <c r="N462" s="224"/>
      <c r="O462" s="224"/>
      <c r="P462" s="185"/>
      <c r="Q462" s="225"/>
      <c r="R462" s="182" t="str">
        <f ca="1">IF(ISERROR($V462),"",OFFSET('Smelter Look-up'!$C$4,$V462-4,0)&amp;"")</f>
        <v/>
      </c>
      <c r="S462" s="181" t="str">
        <f t="shared" ca="1" si="65"/>
        <v>Unknown</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si="66"/>
        <v>0</v>
      </c>
      <c r="AB462" s="228" t="str">
        <f t="shared" si="67"/>
        <v>GoldRealized the Enterprise Co., Ltd.</v>
      </c>
    </row>
    <row r="463" spans="1:28" s="227" customFormat="1" ht="20.25">
      <c r="A463" s="181" t="s">
        <v>17022</v>
      </c>
      <c r="B463" s="182" t="s">
        <v>1098</v>
      </c>
      <c r="C463" s="186" t="s">
        <v>17023</v>
      </c>
      <c r="D463" s="230" t="s">
        <v>17023</v>
      </c>
      <c r="E463" s="182"/>
      <c r="F463" s="182" t="s">
        <v>17022</v>
      </c>
      <c r="G463" s="182"/>
      <c r="H463" s="183" t="s">
        <v>15840</v>
      </c>
      <c r="I463" s="184" t="s">
        <v>15840</v>
      </c>
      <c r="J463" s="184" t="s">
        <v>15840</v>
      </c>
      <c r="K463" s="224"/>
      <c r="L463" s="224"/>
      <c r="M463" s="224"/>
      <c r="N463" s="224"/>
      <c r="O463" s="224"/>
      <c r="P463" s="185"/>
      <c r="Q463" s="225"/>
      <c r="R463" s="182" t="str">
        <f ca="1">IF(ISERROR($V463),"",OFFSET('Smelter Look-up'!$C$4,$V463-4,0)&amp;"")</f>
        <v/>
      </c>
      <c r="S463" s="181" t="str">
        <f t="shared" ca="1" si="65"/>
        <v>Unknown</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si="66"/>
        <v>0</v>
      </c>
      <c r="AB463" s="228" t="str">
        <f t="shared" si="67"/>
        <v>GoldShandon Jin Jinyin Refining Limited</v>
      </c>
    </row>
    <row r="464" spans="1:28" s="227" customFormat="1" ht="20.25">
      <c r="A464" s="181" t="s">
        <v>17024</v>
      </c>
      <c r="B464" s="182" t="s">
        <v>1098</v>
      </c>
      <c r="C464" s="186" t="s">
        <v>17025</v>
      </c>
      <c r="D464" s="230" t="s">
        <v>17025</v>
      </c>
      <c r="E464" s="182"/>
      <c r="F464" s="182" t="s">
        <v>17024</v>
      </c>
      <c r="G464" s="182"/>
      <c r="H464" s="183" t="s">
        <v>15840</v>
      </c>
      <c r="I464" s="184" t="s">
        <v>15840</v>
      </c>
      <c r="J464" s="184" t="s">
        <v>15840</v>
      </c>
      <c r="K464" s="224"/>
      <c r="L464" s="224"/>
      <c r="M464" s="224"/>
      <c r="N464" s="224"/>
      <c r="O464" s="224"/>
      <c r="P464" s="185"/>
      <c r="Q464" s="225"/>
      <c r="R464" s="182" t="str">
        <f ca="1">IF(ISERROR($V464),"",OFFSET('Smelter Look-up'!$C$4,$V464-4,0)&amp;"")</f>
        <v/>
      </c>
      <c r="S464" s="181" t="str">
        <f t="shared" ca="1" si="65"/>
        <v>Unknown</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si="66"/>
        <v>0</v>
      </c>
      <c r="AB464" s="228" t="str">
        <f t="shared" si="67"/>
        <v>GoldShandong penglai gold smelter</v>
      </c>
    </row>
    <row r="465" spans="1:28" s="227" customFormat="1" ht="20.25">
      <c r="A465" s="181" t="s">
        <v>17026</v>
      </c>
      <c r="B465" s="182" t="s">
        <v>1098</v>
      </c>
      <c r="C465" s="186" t="s">
        <v>17027</v>
      </c>
      <c r="D465" s="230" t="s">
        <v>17027</v>
      </c>
      <c r="E465" s="182"/>
      <c r="F465" s="182" t="s">
        <v>17026</v>
      </c>
      <c r="G465" s="182"/>
      <c r="H465" s="183" t="s">
        <v>15840</v>
      </c>
      <c r="I465" s="184" t="s">
        <v>15840</v>
      </c>
      <c r="J465" s="184" t="s">
        <v>15840</v>
      </c>
      <c r="K465" s="224"/>
      <c r="L465" s="224"/>
      <c r="M465" s="224"/>
      <c r="N465" s="224"/>
      <c r="O465" s="224"/>
      <c r="P465" s="185"/>
      <c r="Q465" s="225"/>
      <c r="R465" s="182" t="str">
        <f ca="1">IF(ISERROR($V465),"",OFFSET('Smelter Look-up'!$C$4,$V465-4,0)&amp;"")</f>
        <v/>
      </c>
      <c r="S465" s="181" t="str">
        <f t="shared" ca="1" si="65"/>
        <v>Unknown</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si="66"/>
        <v>0</v>
      </c>
      <c r="AB465" s="228" t="str">
        <f t="shared" si="67"/>
        <v>GoldTai Perng</v>
      </c>
    </row>
    <row r="466" spans="1:28" s="227" customFormat="1" ht="20.25">
      <c r="A466" s="181" t="s">
        <v>17028</v>
      </c>
      <c r="B466" s="182" t="s">
        <v>1099</v>
      </c>
      <c r="C466" s="186" t="s">
        <v>17027</v>
      </c>
      <c r="D466" s="230" t="s">
        <v>17027</v>
      </c>
      <c r="E466" s="182"/>
      <c r="F466" s="182" t="s">
        <v>17028</v>
      </c>
      <c r="G466" s="182"/>
      <c r="H466" s="183" t="s">
        <v>15840</v>
      </c>
      <c r="I466" s="184" t="s">
        <v>15840</v>
      </c>
      <c r="J466" s="184" t="s">
        <v>15840</v>
      </c>
      <c r="K466" s="224"/>
      <c r="L466" s="224"/>
      <c r="M466" s="224"/>
      <c r="N466" s="224"/>
      <c r="O466" s="224"/>
      <c r="P466" s="185"/>
      <c r="Q466" s="225"/>
      <c r="R466" s="182" t="str">
        <f ca="1">IF(ISERROR($V466),"",OFFSET('Smelter Look-up'!$C$4,$V466-4,0)&amp;"")</f>
        <v/>
      </c>
      <c r="S466" s="181" t="str">
        <f t="shared" ca="1" si="65"/>
        <v>Unknown</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si="66"/>
        <v>0</v>
      </c>
      <c r="AB466" s="228" t="str">
        <f t="shared" si="67"/>
        <v>TinTai Perng</v>
      </c>
    </row>
    <row r="467" spans="1:28" s="227" customFormat="1" ht="20.25">
      <c r="A467" s="181" t="s">
        <v>17029</v>
      </c>
      <c r="B467" s="182" t="s">
        <v>1099</v>
      </c>
      <c r="C467" s="186" t="s">
        <v>17030</v>
      </c>
      <c r="D467" s="230" t="s">
        <v>17030</v>
      </c>
      <c r="E467" s="182"/>
      <c r="F467" s="182" t="s">
        <v>17029</v>
      </c>
      <c r="G467" s="182"/>
      <c r="H467" s="183" t="s">
        <v>15840</v>
      </c>
      <c r="I467" s="184" t="s">
        <v>15840</v>
      </c>
      <c r="J467" s="184" t="s">
        <v>15840</v>
      </c>
      <c r="K467" s="224"/>
      <c r="L467" s="224"/>
      <c r="M467" s="224"/>
      <c r="N467" s="224"/>
      <c r="O467" s="224"/>
      <c r="P467" s="185"/>
      <c r="Q467" s="225"/>
      <c r="R467" s="182" t="str">
        <f ca="1">IF(ISERROR($V467),"",OFFSET('Smelter Look-up'!$C$4,$V467-4,0)&amp;"")</f>
        <v/>
      </c>
      <c r="S467" s="181" t="str">
        <f t="shared" ca="1" si="65"/>
        <v>Unknown</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si="66"/>
        <v>0</v>
      </c>
      <c r="AB467" s="228" t="str">
        <f t="shared" si="67"/>
        <v>TinTaiwan Huanliang</v>
      </c>
    </row>
    <row r="468" spans="1:28" s="227" customFormat="1" ht="20.25">
      <c r="A468" s="181" t="s">
        <v>17031</v>
      </c>
      <c r="B468" s="182" t="s">
        <v>1098</v>
      </c>
      <c r="C468" s="186" t="s">
        <v>17032</v>
      </c>
      <c r="D468" s="230" t="s">
        <v>17032</v>
      </c>
      <c r="E468" s="182"/>
      <c r="F468" s="182" t="s">
        <v>17031</v>
      </c>
      <c r="G468" s="182"/>
      <c r="H468" s="183" t="s">
        <v>15840</v>
      </c>
      <c r="I468" s="184" t="s">
        <v>15840</v>
      </c>
      <c r="J468" s="184" t="s">
        <v>15840</v>
      </c>
      <c r="K468" s="224"/>
      <c r="L468" s="224"/>
      <c r="M468" s="224"/>
      <c r="N468" s="224"/>
      <c r="O468" s="224"/>
      <c r="P468" s="185"/>
      <c r="Q468" s="225"/>
      <c r="R468" s="182" t="str">
        <f ca="1">IF(ISERROR($V468),"",OFFSET('Smelter Look-up'!$C$4,$V468-4,0)&amp;"")</f>
        <v/>
      </c>
      <c r="S468" s="181" t="str">
        <f t="shared" ca="1" si="65"/>
        <v>Unknown</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si="66"/>
        <v>0</v>
      </c>
      <c r="AB468" s="228" t="str">
        <f t="shared" si="67"/>
        <v>GoldTAIWAN TOTAI CO., LTD.</v>
      </c>
    </row>
    <row r="469" spans="1:28" s="227" customFormat="1" ht="20.25">
      <c r="A469" s="181" t="s">
        <v>17033</v>
      </c>
      <c r="B469" s="182" t="s">
        <v>1099</v>
      </c>
      <c r="C469" s="186" t="s">
        <v>17034</v>
      </c>
      <c r="D469" s="230" t="s">
        <v>17034</v>
      </c>
      <c r="E469" s="182"/>
      <c r="F469" s="182" t="s">
        <v>17033</v>
      </c>
      <c r="G469" s="182"/>
      <c r="H469" s="183" t="s">
        <v>15840</v>
      </c>
      <c r="I469" s="184" t="s">
        <v>15840</v>
      </c>
      <c r="J469" s="184" t="s">
        <v>15840</v>
      </c>
      <c r="K469" s="224"/>
      <c r="L469" s="224"/>
      <c r="M469" s="224"/>
      <c r="N469" s="224"/>
      <c r="O469" s="224"/>
      <c r="P469" s="185"/>
      <c r="Q469" s="225"/>
      <c r="R469" s="182" t="str">
        <f ca="1">IF(ISERROR($V469),"",OFFSET('Smelter Look-up'!$C$4,$V469-4,0)&amp;"")</f>
        <v/>
      </c>
      <c r="S469" s="181" t="str">
        <f t="shared" ca="1" si="65"/>
        <v>Unknown</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si="66"/>
        <v>0</v>
      </c>
      <c r="AB469" s="228" t="str">
        <f t="shared" si="67"/>
        <v>TinThailand Mine Factory</v>
      </c>
    </row>
    <row r="470" spans="1:28" s="227" customFormat="1" ht="25.5">
      <c r="A470" s="181" t="s">
        <v>17035</v>
      </c>
      <c r="B470" s="182" t="s">
        <v>1099</v>
      </c>
      <c r="C470" s="186" t="s">
        <v>17036</v>
      </c>
      <c r="D470" s="230" t="s">
        <v>17036</v>
      </c>
      <c r="E470" s="182"/>
      <c r="F470" s="182" t="s">
        <v>17035</v>
      </c>
      <c r="G470" s="182"/>
      <c r="H470" s="183" t="s">
        <v>15840</v>
      </c>
      <c r="I470" s="184" t="s">
        <v>15840</v>
      </c>
      <c r="J470" s="184" t="s">
        <v>15840</v>
      </c>
      <c r="K470" s="224"/>
      <c r="L470" s="224"/>
      <c r="M470" s="224"/>
      <c r="N470" s="224"/>
      <c r="O470" s="224"/>
      <c r="P470" s="185"/>
      <c r="Q470" s="225"/>
      <c r="R470" s="182" t="str">
        <f ca="1">IF(ISERROR($V470),"",OFFSET('Smelter Look-up'!$C$4,$V470-4,0)&amp;"")</f>
        <v/>
      </c>
      <c r="S470" s="181" t="str">
        <f t="shared" ca="1" si="65"/>
        <v>Unknown</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si="66"/>
        <v>0</v>
      </c>
      <c r="AB470" s="228" t="str">
        <f t="shared" si="67"/>
        <v>TinThree green surface technology limited company</v>
      </c>
    </row>
    <row r="471" spans="1:28" s="227" customFormat="1" ht="20.25">
      <c r="A471" s="181" t="s">
        <v>17037</v>
      </c>
      <c r="B471" s="182" t="s">
        <v>1099</v>
      </c>
      <c r="C471" s="186" t="s">
        <v>17038</v>
      </c>
      <c r="D471" s="230" t="s">
        <v>17038</v>
      </c>
      <c r="E471" s="182"/>
      <c r="F471" s="182" t="s">
        <v>17037</v>
      </c>
      <c r="G471" s="182"/>
      <c r="H471" s="183" t="s">
        <v>15840</v>
      </c>
      <c r="I471" s="184" t="s">
        <v>15840</v>
      </c>
      <c r="J471" s="184" t="s">
        <v>15840</v>
      </c>
      <c r="K471" s="224"/>
      <c r="L471" s="224"/>
      <c r="M471" s="224"/>
      <c r="N471" s="224"/>
      <c r="O471" s="224"/>
      <c r="P471" s="185"/>
      <c r="Q471" s="225"/>
      <c r="R471" s="182" t="str">
        <f ca="1">IF(ISERROR($V471),"",OFFSET('Smelter Look-up'!$C$4,$V471-4,0)&amp;"")</f>
        <v/>
      </c>
      <c r="S471" s="181" t="str">
        <f t="shared" ca="1" si="65"/>
        <v>Unknown</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si="66"/>
        <v>0</v>
      </c>
      <c r="AB471" s="228" t="str">
        <f t="shared" si="67"/>
        <v>TinTONG LONG</v>
      </c>
    </row>
    <row r="472" spans="1:28" s="227" customFormat="1" ht="20.25">
      <c r="A472" s="181" t="s">
        <v>17039</v>
      </c>
      <c r="B472" s="182" t="s">
        <v>1099</v>
      </c>
      <c r="C472" s="186" t="s">
        <v>17040</v>
      </c>
      <c r="D472" s="230" t="s">
        <v>17040</v>
      </c>
      <c r="E472" s="182"/>
      <c r="F472" s="182" t="s">
        <v>17039</v>
      </c>
      <c r="G472" s="182"/>
      <c r="H472" s="183" t="s">
        <v>15840</v>
      </c>
      <c r="I472" s="184" t="s">
        <v>15840</v>
      </c>
      <c r="J472" s="184" t="s">
        <v>15840</v>
      </c>
      <c r="K472" s="224"/>
      <c r="L472" s="224"/>
      <c r="M472" s="224"/>
      <c r="N472" s="224"/>
      <c r="O472" s="224"/>
      <c r="P472" s="185"/>
      <c r="Q472" s="225"/>
      <c r="R472" s="182" t="str">
        <f ca="1">IF(ISERROR($V472),"",OFFSET('Smelter Look-up'!$C$4,$V472-4,0)&amp;"")</f>
        <v/>
      </c>
      <c r="S472" s="181" t="str">
        <f t="shared" ca="1" si="65"/>
        <v>Unknown</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si="66"/>
        <v>0</v>
      </c>
      <c r="AB472" s="228" t="str">
        <f t="shared" si="67"/>
        <v>TinWANG TING</v>
      </c>
    </row>
    <row r="473" spans="1:28" s="227" customFormat="1" ht="20.25">
      <c r="A473" s="181" t="s">
        <v>17041</v>
      </c>
      <c r="B473" s="182" t="s">
        <v>1098</v>
      </c>
      <c r="C473" s="186" t="s">
        <v>17042</v>
      </c>
      <c r="D473" s="230" t="s">
        <v>17042</v>
      </c>
      <c r="E473" s="182"/>
      <c r="F473" s="182" t="s">
        <v>17041</v>
      </c>
      <c r="G473" s="182"/>
      <c r="H473" s="183" t="s">
        <v>15840</v>
      </c>
      <c r="I473" s="184" t="s">
        <v>15840</v>
      </c>
      <c r="J473" s="184" t="s">
        <v>15840</v>
      </c>
      <c r="K473" s="224"/>
      <c r="L473" s="224"/>
      <c r="M473" s="224"/>
      <c r="N473" s="224"/>
      <c r="O473" s="224"/>
      <c r="P473" s="185"/>
      <c r="Q473" s="225"/>
      <c r="R473" s="182" t="str">
        <f ca="1">IF(ISERROR($V473),"",OFFSET('Smelter Look-up'!$C$4,$V473-4,0)&amp;"")</f>
        <v/>
      </c>
      <c r="S473" s="181" t="str">
        <f t="shared" ca="1" si="65"/>
        <v>Unknown</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si="66"/>
        <v>0</v>
      </c>
      <c r="AB473" s="228" t="str">
        <f t="shared" si="67"/>
        <v>GoldXiamen JInbo Metal Co., Ltd.</v>
      </c>
    </row>
    <row r="474" spans="1:28" s="227" customFormat="1" ht="20.25">
      <c r="A474" s="181" t="s">
        <v>17043</v>
      </c>
      <c r="B474" s="182" t="s">
        <v>1099</v>
      </c>
      <c r="C474" s="186" t="s">
        <v>17044</v>
      </c>
      <c r="D474" s="230" t="s">
        <v>17044</v>
      </c>
      <c r="E474" s="182"/>
      <c r="F474" s="182" t="s">
        <v>17043</v>
      </c>
      <c r="G474" s="182"/>
      <c r="H474" s="183" t="s">
        <v>15840</v>
      </c>
      <c r="I474" s="184" t="s">
        <v>15840</v>
      </c>
      <c r="J474" s="184" t="s">
        <v>15840</v>
      </c>
      <c r="K474" s="224"/>
      <c r="L474" s="224"/>
      <c r="M474" s="224"/>
      <c r="N474" s="224"/>
      <c r="O474" s="224"/>
      <c r="P474" s="185"/>
      <c r="Q474" s="225"/>
      <c r="R474" s="182" t="str">
        <f ca="1">IF(ISERROR($V474),"",OFFSET('Smelter Look-up'!$C$4,$V474-4,0)&amp;"")</f>
        <v/>
      </c>
      <c r="S474" s="181" t="str">
        <f t="shared" ca="1" si="65"/>
        <v>Unknown</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si="66"/>
        <v>0</v>
      </c>
      <c r="AB474" s="228" t="str">
        <f t="shared" si="67"/>
        <v>TinYiquan Manufacturing</v>
      </c>
    </row>
    <row r="475" spans="1:28" s="227" customFormat="1" ht="20.25">
      <c r="A475" s="181" t="s">
        <v>17045</v>
      </c>
      <c r="B475" s="182" t="s">
        <v>1099</v>
      </c>
      <c r="C475" s="186" t="s">
        <v>17046</v>
      </c>
      <c r="D475" s="230" t="s">
        <v>17046</v>
      </c>
      <c r="E475" s="182"/>
      <c r="F475" s="182" t="s">
        <v>17045</v>
      </c>
      <c r="G475" s="182"/>
      <c r="H475" s="183" t="s">
        <v>15840</v>
      </c>
      <c r="I475" s="184" t="s">
        <v>15840</v>
      </c>
      <c r="J475" s="184" t="s">
        <v>15840</v>
      </c>
      <c r="K475" s="224"/>
      <c r="L475" s="224"/>
      <c r="M475" s="224"/>
      <c r="N475" s="224"/>
      <c r="O475" s="224"/>
      <c r="P475" s="185"/>
      <c r="Q475" s="225"/>
      <c r="R475" s="182" t="str">
        <f ca="1">IF(ISERROR($V475),"",OFFSET('Smelter Look-up'!$C$4,$V475-4,0)&amp;"")</f>
        <v/>
      </c>
      <c r="S475" s="181" t="str">
        <f t="shared" ca="1" si="65"/>
        <v>Unknown</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si="66"/>
        <v>0</v>
      </c>
      <c r="AB475" s="228" t="str">
        <f t="shared" si="67"/>
        <v>TinYunnan Geiju Smelting Corp.</v>
      </c>
    </row>
    <row r="476" spans="1:28" s="227" customFormat="1" ht="20.25">
      <c r="A476" s="181" t="s">
        <v>17047</v>
      </c>
      <c r="B476" s="182" t="s">
        <v>1098</v>
      </c>
      <c r="C476" s="186" t="s">
        <v>17048</v>
      </c>
      <c r="D476" s="230" t="s">
        <v>17048</v>
      </c>
      <c r="E476" s="182"/>
      <c r="F476" s="182" t="s">
        <v>17047</v>
      </c>
      <c r="G476" s="182"/>
      <c r="H476" s="183" t="s">
        <v>15840</v>
      </c>
      <c r="I476" s="184" t="s">
        <v>15840</v>
      </c>
      <c r="J476" s="184" t="s">
        <v>15840</v>
      </c>
      <c r="K476" s="224"/>
      <c r="L476" s="224"/>
      <c r="M476" s="224"/>
      <c r="N476" s="224"/>
      <c r="O476" s="224"/>
      <c r="P476" s="185"/>
      <c r="Q476" s="225"/>
      <c r="R476" s="182" t="str">
        <f ca="1">IF(ISERROR($V476),"",OFFSET('Smelter Look-up'!$C$4,$V476-4,0)&amp;"")</f>
        <v/>
      </c>
      <c r="S476" s="181" t="str">
        <f t="shared" ca="1" si="65"/>
        <v>Unknown</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si="66"/>
        <v>0</v>
      </c>
      <c r="AB476" s="228" t="str">
        <f t="shared" si="67"/>
        <v>GoldZhaojun Maifu</v>
      </c>
    </row>
    <row r="477" spans="1:28" s="227" customFormat="1" ht="20.25">
      <c r="A477" s="181" t="s">
        <v>17049</v>
      </c>
      <c r="B477" s="182" t="s">
        <v>1099</v>
      </c>
      <c r="C477" s="186" t="s">
        <v>17050</v>
      </c>
      <c r="D477" s="230" t="s">
        <v>17050</v>
      </c>
      <c r="E477" s="182"/>
      <c r="F477" s="182" t="s">
        <v>17049</v>
      </c>
      <c r="G477" s="182"/>
      <c r="H477" s="183" t="s">
        <v>15840</v>
      </c>
      <c r="I477" s="184" t="s">
        <v>15840</v>
      </c>
      <c r="J477" s="184" t="s">
        <v>15840</v>
      </c>
      <c r="K477" s="224"/>
      <c r="L477" s="224"/>
      <c r="M477" s="224"/>
      <c r="N477" s="224"/>
      <c r="O477" s="224"/>
      <c r="P477" s="185"/>
      <c r="Q477" s="225"/>
      <c r="R477" s="182" t="str">
        <f ca="1">IF(ISERROR($V477),"",OFFSET('Smelter Look-up'!$C$4,$V477-4,0)&amp;"")</f>
        <v/>
      </c>
      <c r="S477" s="181" t="str">
        <f t="shared" ca="1" si="65"/>
        <v>Unknown</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si="66"/>
        <v>0</v>
      </c>
      <c r="AB477" s="228" t="str">
        <f t="shared" si="67"/>
        <v>TinZhongshan Jinye Smelting Co.,Ltd</v>
      </c>
    </row>
    <row r="478" spans="1:28" s="227" customFormat="1" ht="20.25">
      <c r="A478" s="181" t="s">
        <v>17051</v>
      </c>
      <c r="B478" s="182" t="s">
        <v>1099</v>
      </c>
      <c r="C478" s="186" t="s">
        <v>17052</v>
      </c>
      <c r="D478" s="230" t="s">
        <v>17052</v>
      </c>
      <c r="E478" s="182"/>
      <c r="F478" s="182" t="s">
        <v>17051</v>
      </c>
      <c r="G478" s="182"/>
      <c r="H478" s="183" t="s">
        <v>15840</v>
      </c>
      <c r="I478" s="184" t="s">
        <v>15840</v>
      </c>
      <c r="J478" s="184" t="s">
        <v>15840</v>
      </c>
      <c r="K478" s="224"/>
      <c r="L478" s="224"/>
      <c r="M478" s="224"/>
      <c r="N478" s="224"/>
      <c r="O478" s="224"/>
      <c r="P478" s="185"/>
      <c r="Q478" s="225"/>
      <c r="R478" s="182" t="str">
        <f ca="1">IF(ISERROR($V478),"",OFFSET('Smelter Look-up'!$C$4,$V478-4,0)&amp;"")</f>
        <v/>
      </c>
      <c r="S478" s="181" t="str">
        <f t="shared" ca="1" si="65"/>
        <v>Unknown</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si="66"/>
        <v>0</v>
      </c>
      <c r="AB478" s="228" t="str">
        <f t="shared" si="67"/>
        <v>TinSolder Court Ltd.</v>
      </c>
    </row>
    <row r="479" spans="1:28" s="227" customFormat="1" ht="20.25">
      <c r="A479" s="181" t="s">
        <v>17053</v>
      </c>
      <c r="B479" s="182" t="s">
        <v>1101</v>
      </c>
      <c r="C479" s="186" t="s">
        <v>17054</v>
      </c>
      <c r="D479" s="230" t="s">
        <v>17054</v>
      </c>
      <c r="E479" s="182"/>
      <c r="F479" s="182" t="s">
        <v>17053</v>
      </c>
      <c r="G479" s="182"/>
      <c r="H479" s="183" t="s">
        <v>15840</v>
      </c>
      <c r="I479" s="184" t="s">
        <v>15840</v>
      </c>
      <c r="J479" s="184" t="s">
        <v>15840</v>
      </c>
      <c r="K479" s="224"/>
      <c r="L479" s="224"/>
      <c r="M479" s="224"/>
      <c r="N479" s="224"/>
      <c r="O479" s="224"/>
      <c r="P479" s="185"/>
      <c r="Q479" s="225"/>
      <c r="R479" s="182" t="str">
        <f ca="1">IF(ISERROR($V479),"",OFFSET('Smelter Look-up'!$C$4,$V479-4,0)&amp;"")</f>
        <v/>
      </c>
      <c r="S479" s="181" t="str">
        <f t="shared" ca="1" si="65"/>
        <v>Unknown</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si="66"/>
        <v>0</v>
      </c>
      <c r="AB479" s="228" t="str">
        <f t="shared" si="67"/>
        <v>TungstenTungsten Diversified Industries LLC</v>
      </c>
    </row>
    <row r="480" spans="1:28" s="227" customFormat="1" ht="25.5">
      <c r="A480" s="181" t="s">
        <v>17055</v>
      </c>
      <c r="B480" s="182" t="s">
        <v>1098</v>
      </c>
      <c r="C480" s="186" t="s">
        <v>17056</v>
      </c>
      <c r="D480" s="230" t="s">
        <v>17056</v>
      </c>
      <c r="E480" s="182"/>
      <c r="F480" s="182" t="s">
        <v>17055</v>
      </c>
      <c r="G480" s="182"/>
      <c r="H480" s="183" t="s">
        <v>15840</v>
      </c>
      <c r="I480" s="184" t="s">
        <v>15840</v>
      </c>
      <c r="J480" s="184" t="s">
        <v>15840</v>
      </c>
      <c r="K480" s="224"/>
      <c r="L480" s="224"/>
      <c r="M480" s="224"/>
      <c r="N480" s="224"/>
      <c r="O480" s="224"/>
      <c r="P480" s="185"/>
      <c r="Q480" s="225"/>
      <c r="R480" s="182" t="str">
        <f ca="1">IF(ISERROR($V480),"",OFFSET('Smelter Look-up'!$C$4,$V480-4,0)&amp;"")</f>
        <v/>
      </c>
      <c r="S480" s="181" t="str">
        <f t="shared" ca="1" si="65"/>
        <v>Unknown</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si="66"/>
        <v>0</v>
      </c>
      <c r="AB480" s="228" t="str">
        <f t="shared" si="67"/>
        <v>GoldHop Hing electroplating factory Zhejiang</v>
      </c>
    </row>
    <row r="481" spans="1:28" s="227" customFormat="1" ht="20.25">
      <c r="A481" s="181" t="s">
        <v>17057</v>
      </c>
      <c r="B481" s="182" t="s">
        <v>1098</v>
      </c>
      <c r="C481" s="186" t="s">
        <v>17058</v>
      </c>
      <c r="D481" s="230" t="s">
        <v>17058</v>
      </c>
      <c r="E481" s="182"/>
      <c r="F481" s="182" t="s">
        <v>17057</v>
      </c>
      <c r="G481" s="182"/>
      <c r="H481" s="183" t="s">
        <v>15840</v>
      </c>
      <c r="I481" s="184" t="s">
        <v>15840</v>
      </c>
      <c r="J481" s="184" t="s">
        <v>15840</v>
      </c>
      <c r="K481" s="224"/>
      <c r="L481" s="224"/>
      <c r="M481" s="224"/>
      <c r="N481" s="224"/>
      <c r="O481" s="224"/>
      <c r="P481" s="185"/>
      <c r="Q481" s="225"/>
      <c r="R481" s="182" t="str">
        <f ca="1">IF(ISERROR($V481),"",OFFSET('Smelter Look-up'!$C$4,$V481-4,0)&amp;"")</f>
        <v/>
      </c>
      <c r="S481" s="181" t="str">
        <f t="shared" ca="1" si="65"/>
        <v>Unknown</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si="66"/>
        <v>0</v>
      </c>
      <c r="AB481" s="228" t="str">
        <f t="shared" si="67"/>
        <v>GoldSuZhou ShenChuang recycling Ltd.</v>
      </c>
    </row>
    <row r="482" spans="1:28" s="227" customFormat="1" ht="20.25">
      <c r="A482" s="181" t="s">
        <v>17059</v>
      </c>
      <c r="B482" s="182" t="s">
        <v>1098</v>
      </c>
      <c r="C482" s="186" t="s">
        <v>17060</v>
      </c>
      <c r="D482" s="230" t="s">
        <v>17060</v>
      </c>
      <c r="E482" s="182"/>
      <c r="F482" s="182" t="s">
        <v>17059</v>
      </c>
      <c r="G482" s="182"/>
      <c r="H482" s="183" t="s">
        <v>15840</v>
      </c>
      <c r="I482" s="184" t="s">
        <v>15840</v>
      </c>
      <c r="J482" s="184" t="s">
        <v>15840</v>
      </c>
      <c r="K482" s="224"/>
      <c r="L482" s="224"/>
      <c r="M482" s="224"/>
      <c r="N482" s="224"/>
      <c r="O482" s="224"/>
      <c r="P482" s="185"/>
      <c r="Q482" s="225"/>
      <c r="R482" s="182" t="str">
        <f ca="1">IF(ISERROR($V482),"",OFFSET('Smelter Look-up'!$C$4,$V482-4,0)&amp;"")</f>
        <v/>
      </c>
      <c r="S482" s="181" t="str">
        <f t="shared" ca="1" si="65"/>
        <v>Unknown</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si="66"/>
        <v>0</v>
      </c>
      <c r="AB482" s="228" t="str">
        <f t="shared" si="67"/>
        <v>GoldTsai Brother industries</v>
      </c>
    </row>
    <row r="483" spans="1:28" s="227" customFormat="1" ht="20.25">
      <c r="A483" s="181" t="s">
        <v>17061</v>
      </c>
      <c r="B483" s="182" t="s">
        <v>1099</v>
      </c>
      <c r="C483" s="186" t="s">
        <v>17062</v>
      </c>
      <c r="D483" s="230" t="s">
        <v>17062</v>
      </c>
      <c r="E483" s="182"/>
      <c r="F483" s="182" t="s">
        <v>17061</v>
      </c>
      <c r="G483" s="182"/>
      <c r="H483" s="183" t="s">
        <v>15840</v>
      </c>
      <c r="I483" s="184" t="s">
        <v>15840</v>
      </c>
      <c r="J483" s="184" t="s">
        <v>15840</v>
      </c>
      <c r="K483" s="224"/>
      <c r="L483" s="224"/>
      <c r="M483" s="224"/>
      <c r="N483" s="224"/>
      <c r="O483" s="224"/>
      <c r="P483" s="185"/>
      <c r="Q483" s="225"/>
      <c r="R483" s="182" t="str">
        <f ca="1">IF(ISERROR($V483),"",OFFSET('Smelter Look-up'!$C$4,$V483-4,0)&amp;"")</f>
        <v/>
      </c>
      <c r="S483" s="181" t="str">
        <f t="shared" ca="1" si="65"/>
        <v>Unknown</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si="66"/>
        <v>0</v>
      </c>
      <c r="AB483" s="228" t="str">
        <f t="shared" si="67"/>
        <v>TinXianghualing Tin Industry Co., Ltd.</v>
      </c>
    </row>
    <row r="484" spans="1:28" s="227" customFormat="1" ht="20.25">
      <c r="A484" s="181" t="s">
        <v>17063</v>
      </c>
      <c r="B484" s="182" t="s">
        <v>1099</v>
      </c>
      <c r="C484" s="186" t="s">
        <v>17064</v>
      </c>
      <c r="D484" s="230" t="s">
        <v>17064</v>
      </c>
      <c r="E484" s="182"/>
      <c r="F484" s="182" t="s">
        <v>17063</v>
      </c>
      <c r="G484" s="182"/>
      <c r="H484" s="183" t="s">
        <v>15840</v>
      </c>
      <c r="I484" s="184" t="s">
        <v>15840</v>
      </c>
      <c r="J484" s="184" t="s">
        <v>15840</v>
      </c>
      <c r="K484" s="224"/>
      <c r="L484" s="224"/>
      <c r="M484" s="224"/>
      <c r="N484" s="224"/>
      <c r="O484" s="224"/>
      <c r="P484" s="185"/>
      <c r="Q484" s="225"/>
      <c r="R484" s="182" t="str">
        <f ca="1">IF(ISERROR($V484),"",OFFSET('Smelter Look-up'!$C$4,$V484-4,0)&amp;"")</f>
        <v/>
      </c>
      <c r="S484" s="181" t="str">
        <f t="shared" ca="1" si="65"/>
        <v>Unknown</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si="66"/>
        <v>0</v>
      </c>
      <c r="AB484" s="228" t="str">
        <f t="shared" si="67"/>
        <v>TinOMODEO A. E S. METALLEGHE SRL</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DAA213E7-0CB4-47CC-9DE2-FFFD2677D922}"/>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C67" sqref="C67"/>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RLS Merilna tehnika d. o. o.</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We design, produce and supply advanced rotary and linear motion sensors</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Maja Gerkšič Lah</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maja.gerksic@rls.si</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+386 1 5272 152</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Matija Novak</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mail@rls.si</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45860</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Yes</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51">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51">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Tantalum  (*)</v>
      </c>
      <c r="B39" s="268" t="str">
        <f>IF(AND($B$14="Yes",$B$19="Yes"),Declaration!D56,0)</f>
        <v>Greater than 90%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Greater than 90%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Greater than 90%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Greater than 90%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Tantalum  (*)</v>
      </c>
      <c r="B44" s="89" t="str">
        <f>IF(AND($B$14="Yes",$B$19="Yes"),Declaration!D62,0)</f>
        <v>No</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http://www.rls.si/media/wysiwyg/PDF/RLS_ConflictFreeMinerals_CompanyPolicyStatement.pdf</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63.75">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Yes</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One or more product / item numbers have been provided</v>
      </c>
      <c r="C64" s="89" t="str">
        <f t="shared" ca="1" si="13"/>
        <v>Complete</v>
      </c>
      <c r="D64" s="95" t="str">
        <f ca="1">IF(H64=1,"Click here to enter detail on Product List tab","")</f>
        <v/>
      </c>
      <c r="E64" s="20" t="s">
        <v>1273</v>
      </c>
      <c r="F64" s="94">
        <f>IF(B5=Declaration!Q9,1,0)</f>
        <v>0</v>
      </c>
      <c r="G64" s="70" cm="1">
        <f t="array" aca="1" ref="G64" ca="1">IF(INDIRECT("'Product List'!B6")="",1,0)</f>
        <v>0</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Complete</v>
      </c>
      <c r="D69" s="95"/>
      <c r="E69" s="20"/>
      <c r="F69" s="94">
        <f ca="1">IF(COUNTIF('Smelter List'!$C:$C,"Smelter not listed")=0,0,1)</f>
        <v>1</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31.5">
      <c r="A6" s="128"/>
      <c r="B6" s="274" t="s">
        <v>17076</v>
      </c>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7a3a2ae7-7907-45fd-bbd5-f8c9ad49b855}" enabled="1" method="Privileged" siteId="{44713459-d425-4dce-831a-11ab5a1d3c7e}"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Nina Kunstelj Vašl</cp:lastModifiedBy>
  <cp:lastPrinted>2015-04-21T20:47:43Z</cp:lastPrinted>
  <dcterms:created xsi:type="dcterms:W3CDTF">2010-06-21T21:00:23Z</dcterms:created>
  <dcterms:modified xsi:type="dcterms:W3CDTF">2025-10-20T13:33:54Z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